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omments7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omments8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_\OneDrive\Escritorio\EDITORIAL SET\"/>
    </mc:Choice>
  </mc:AlternateContent>
  <xr:revisionPtr revIDLastSave="0" documentId="8_{13D1B403-7E64-4542-874E-FD6251D0279A}" xr6:coauthVersionLast="46" xr6:coauthVersionMax="46" xr10:uidLastSave="{00000000-0000-0000-0000-000000000000}"/>
  <bookViews>
    <workbookView xWindow="-120" yWindow="-120" windowWidth="20730" windowHeight="11160" firstSheet="3" activeTab="6" xr2:uid="{00000000-000D-0000-FFFF-FFFF00000000}"/>
  </bookViews>
  <sheets>
    <sheet name="Enero 16" sheetId="1" r:id="rId1"/>
    <sheet name="Febrero 16" sheetId="5" r:id="rId2"/>
    <sheet name="Marzo 16" sheetId="6" r:id="rId3"/>
    <sheet name="Abril 21" sheetId="9" r:id="rId4"/>
    <sheet name="mayo 21" sheetId="10" r:id="rId5"/>
    <sheet name="junio 21" sheetId="11" r:id="rId6"/>
    <sheet name="Recaudacion" sheetId="2" r:id="rId7"/>
    <sheet name="PROYECCION 2021" sheetId="3" r:id="rId8"/>
    <sheet name="Porcentajes" sheetId="4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3">'Abril 21'!$A$3:$Q$14</definedName>
    <definedName name="_xlnm.Print_Area" localSheetId="5">'junio 21'!$A$3:$Q$37</definedName>
    <definedName name="_xlnm.Print_Area" localSheetId="2">'Marzo 16'!$A$3:$Q$35</definedName>
    <definedName name="_xlnm.Print_Area" localSheetId="8">Porcentajes!$B$2:$N$119</definedName>
    <definedName name="_xlnm.Database" localSheetId="0">#REF!</definedName>
    <definedName name="_xlnm.Database" localSheetId="1">#REF!</definedName>
    <definedName name="_xlnm.Database" localSheetId="8">#REF!</definedName>
    <definedName name="_xlnm.Database" localSheetId="7">#REF!</definedName>
    <definedName name="_xlnm.Database" localSheetId="6">#REF!</definedName>
    <definedName name="_xlnm.Database">#REF!</definedName>
    <definedName name="gfhg" localSheetId="0">#REF!</definedName>
    <definedName name="gfhg" localSheetId="1">#REF!</definedName>
    <definedName name="gfhg" localSheetId="7">#REF!</definedName>
    <definedName name="gfhg">#REF!</definedName>
    <definedName name="jg" localSheetId="0">#REF!</definedName>
    <definedName name="jg" localSheetId="1">#REF!</definedName>
    <definedName name="jg" localSheetId="7">#REF!</definedName>
    <definedName name="jg">#REF!</definedName>
    <definedName name="lll" localSheetId="0">#REF!</definedName>
    <definedName name="lll" localSheetId="1">#REF!</definedName>
    <definedName name="lll" localSheetId="8">#REF!</definedName>
    <definedName name="lll" localSheetId="7">#REF!</definedName>
    <definedName name="lll" localSheetId="6">#REF!</definedName>
    <definedName name="lll">#REF!</definedName>
    <definedName name="tramites" localSheetId="0">#REF!</definedName>
    <definedName name="tramites" localSheetId="1">#REF!</definedName>
    <definedName name="tramites" localSheetId="7">#REF!</definedName>
    <definedName name="tramites">#REF!</definedName>
    <definedName name="xx" localSheetId="0">#REF!</definedName>
    <definedName name="xx" localSheetId="1">#REF!</definedName>
    <definedName name="xx" localSheetId="8">#REF!</definedName>
    <definedName name="xx" localSheetId="7">#REF!</definedName>
    <definedName name="xx" localSheetId="6">#REF!</definedName>
    <definedName name="xx">#REF!</definedName>
  </definedNames>
  <calcPr calcId="191029"/>
</workbook>
</file>

<file path=xl/calcChain.xml><?xml version="1.0" encoding="utf-8"?>
<calcChain xmlns="http://schemas.openxmlformats.org/spreadsheetml/2006/main">
  <c r="H65" i="4" l="1"/>
  <c r="I65" i="4"/>
  <c r="J65" i="4"/>
  <c r="K65" i="4"/>
  <c r="L65" i="4"/>
  <c r="M65" i="4"/>
  <c r="N65" i="4"/>
  <c r="G65" i="4"/>
  <c r="B131" i="4"/>
  <c r="B132" i="4"/>
  <c r="B133" i="4"/>
  <c r="B134" i="4"/>
  <c r="B135" i="4"/>
  <c r="B130" i="4"/>
  <c r="B69" i="4"/>
  <c r="B89" i="4" s="1"/>
  <c r="B100" i="4" s="1"/>
  <c r="B70" i="4"/>
  <c r="B90" i="4" s="1"/>
  <c r="B101" i="4" s="1"/>
  <c r="B71" i="4"/>
  <c r="B91" i="4" s="1"/>
  <c r="B102" i="4" s="1"/>
  <c r="B72" i="4"/>
  <c r="B92" i="4" s="1"/>
  <c r="B103" i="4" s="1"/>
  <c r="B73" i="4"/>
  <c r="B93" i="4" s="1"/>
  <c r="B104" i="4" s="1"/>
  <c r="B74" i="4"/>
  <c r="B94" i="4" s="1"/>
  <c r="B105" i="4" s="1"/>
  <c r="B75" i="4"/>
  <c r="B95" i="4" s="1"/>
  <c r="B106" i="4" s="1"/>
  <c r="B68" i="4"/>
  <c r="B88" i="4" s="1"/>
  <c r="B99" i="4" s="1"/>
  <c r="G45" i="11"/>
  <c r="K45" i="11"/>
  <c r="C45" i="11"/>
  <c r="N4" i="2"/>
  <c r="M42" i="11"/>
  <c r="M45" i="11" s="1"/>
  <c r="K42" i="11"/>
  <c r="I42" i="11"/>
  <c r="I45" i="11" s="1"/>
  <c r="G42" i="11"/>
  <c r="E42" i="11"/>
  <c r="C42" i="11"/>
  <c r="R35" i="11"/>
  <c r="P34" i="11"/>
  <c r="M34" i="11"/>
  <c r="L34" i="11"/>
  <c r="K34" i="11"/>
  <c r="I34" i="11"/>
  <c r="H34" i="11"/>
  <c r="G34" i="11"/>
  <c r="F34" i="11"/>
  <c r="E34" i="11"/>
  <c r="D34" i="11"/>
  <c r="C34" i="11"/>
  <c r="R34" i="11"/>
  <c r="O33" i="11"/>
  <c r="L33" i="11"/>
  <c r="K33" i="11"/>
  <c r="J33" i="11"/>
  <c r="G33" i="11"/>
  <c r="F33" i="11"/>
  <c r="D33" i="11"/>
  <c r="K32" i="11"/>
  <c r="G32" i="11"/>
  <c r="R32" i="11" s="1"/>
  <c r="Q31" i="11"/>
  <c r="P31" i="11"/>
  <c r="H31" i="11"/>
  <c r="G31" i="11"/>
  <c r="D31" i="11"/>
  <c r="R30" i="11"/>
  <c r="O29" i="11"/>
  <c r="L29" i="11"/>
  <c r="G29" i="11"/>
  <c r="E29" i="11"/>
  <c r="D29" i="11"/>
  <c r="C29" i="11"/>
  <c r="R29" i="11"/>
  <c r="K28" i="11"/>
  <c r="J28" i="11"/>
  <c r="F28" i="11"/>
  <c r="E28" i="11"/>
  <c r="B28" i="11"/>
  <c r="R28" i="11"/>
  <c r="I27" i="11"/>
  <c r="H27" i="11"/>
  <c r="G27" i="11"/>
  <c r="E27" i="11"/>
  <c r="D27" i="11"/>
  <c r="C27" i="11"/>
  <c r="R27" i="11" s="1"/>
  <c r="R26" i="11"/>
  <c r="E26" i="11"/>
  <c r="P25" i="11"/>
  <c r="J25" i="11"/>
  <c r="I25" i="11"/>
  <c r="H25" i="11"/>
  <c r="E25" i="11"/>
  <c r="D25" i="11"/>
  <c r="R25" i="11"/>
  <c r="C25" i="11"/>
  <c r="R24" i="11"/>
  <c r="R23" i="11"/>
  <c r="M22" i="11"/>
  <c r="L22" i="11"/>
  <c r="K22" i="11"/>
  <c r="I22" i="11"/>
  <c r="H22" i="11"/>
  <c r="E22" i="11"/>
  <c r="D22" i="11"/>
  <c r="C22" i="11"/>
  <c r="R22" i="11"/>
  <c r="O21" i="11"/>
  <c r="N21" i="11"/>
  <c r="N36" i="11" s="1"/>
  <c r="M21" i="11"/>
  <c r="K21" i="11"/>
  <c r="E21" i="11"/>
  <c r="D21" i="11"/>
  <c r="C21" i="11"/>
  <c r="P20" i="11"/>
  <c r="P36" i="11" s="1"/>
  <c r="O20" i="11"/>
  <c r="M20" i="11"/>
  <c r="L20" i="11"/>
  <c r="K20" i="11"/>
  <c r="I20" i="11"/>
  <c r="D20" i="11"/>
  <c r="O19" i="11"/>
  <c r="M19" i="11"/>
  <c r="L19" i="11"/>
  <c r="K19" i="11"/>
  <c r="J19" i="11"/>
  <c r="I19" i="11"/>
  <c r="E19" i="11"/>
  <c r="D19" i="11"/>
  <c r="C19" i="11"/>
  <c r="R19" i="11" s="1"/>
  <c r="L18" i="11"/>
  <c r="K18" i="11"/>
  <c r="I18" i="11"/>
  <c r="H18" i="11"/>
  <c r="F18" i="11"/>
  <c r="E18" i="11"/>
  <c r="D18" i="11"/>
  <c r="R18" i="11" s="1"/>
  <c r="O17" i="11"/>
  <c r="K17" i="11"/>
  <c r="J17" i="11"/>
  <c r="I17" i="11"/>
  <c r="F17" i="11"/>
  <c r="D17" i="11"/>
  <c r="C17" i="11"/>
  <c r="R16" i="11"/>
  <c r="O15" i="11"/>
  <c r="M15" i="11"/>
  <c r="K15" i="11"/>
  <c r="I15" i="11"/>
  <c r="G15" i="11"/>
  <c r="E15" i="11"/>
  <c r="D15" i="11"/>
  <c r="C15" i="11"/>
  <c r="B15" i="11"/>
  <c r="R15" i="11" s="1"/>
  <c r="M14" i="11"/>
  <c r="L14" i="11"/>
  <c r="K14" i="11"/>
  <c r="J14" i="11"/>
  <c r="I14" i="11"/>
  <c r="H14" i="11"/>
  <c r="G14" i="11"/>
  <c r="E14" i="11"/>
  <c r="C14" i="11"/>
  <c r="R14" i="11" s="1"/>
  <c r="O13" i="11"/>
  <c r="M13" i="11"/>
  <c r="L13" i="11"/>
  <c r="K13" i="11"/>
  <c r="I13" i="11"/>
  <c r="H13" i="11"/>
  <c r="E13" i="11"/>
  <c r="D13" i="11"/>
  <c r="C13" i="11"/>
  <c r="B13" i="11"/>
  <c r="R13" i="11"/>
  <c r="M12" i="11"/>
  <c r="K12" i="11"/>
  <c r="J12" i="11"/>
  <c r="I12" i="11"/>
  <c r="H12" i="11"/>
  <c r="G12" i="11"/>
  <c r="E12" i="11"/>
  <c r="D12" i="11"/>
  <c r="C12" i="11"/>
  <c r="R12" i="11"/>
  <c r="M11" i="11"/>
  <c r="L11" i="11"/>
  <c r="K11" i="11"/>
  <c r="I11" i="11"/>
  <c r="G11" i="11"/>
  <c r="E11" i="11"/>
  <c r="D11" i="11"/>
  <c r="C11" i="11"/>
  <c r="R11" i="11" s="1"/>
  <c r="M10" i="11"/>
  <c r="L10" i="11"/>
  <c r="K10" i="11"/>
  <c r="J10" i="11"/>
  <c r="I10" i="11"/>
  <c r="G10" i="11"/>
  <c r="E10" i="11"/>
  <c r="C10" i="11"/>
  <c r="R10" i="11"/>
  <c r="R9" i="11"/>
  <c r="O8" i="11"/>
  <c r="M8" i="11"/>
  <c r="L8" i="11"/>
  <c r="K8" i="11"/>
  <c r="I8" i="11"/>
  <c r="G8" i="11"/>
  <c r="E8" i="11"/>
  <c r="D8" i="11"/>
  <c r="C8" i="11"/>
  <c r="B8" i="11"/>
  <c r="R8" i="11"/>
  <c r="O7" i="11"/>
  <c r="M7" i="11"/>
  <c r="L7" i="11"/>
  <c r="K7" i="11"/>
  <c r="J7" i="11"/>
  <c r="I7" i="11"/>
  <c r="H7" i="11"/>
  <c r="G7" i="11"/>
  <c r="E7" i="11"/>
  <c r="D7" i="11"/>
  <c r="C7" i="11"/>
  <c r="B7" i="11"/>
  <c r="R7" i="11" s="1"/>
  <c r="O6" i="11"/>
  <c r="M6" i="11"/>
  <c r="L6" i="11"/>
  <c r="K6" i="11"/>
  <c r="I6" i="11"/>
  <c r="H6" i="11"/>
  <c r="G6" i="11"/>
  <c r="E6" i="11"/>
  <c r="D6" i="11"/>
  <c r="C6" i="11"/>
  <c r="B6" i="11"/>
  <c r="O5" i="11"/>
  <c r="O36" i="11" s="1"/>
  <c r="M5" i="11"/>
  <c r="L5" i="11"/>
  <c r="L36" i="11" s="1"/>
  <c r="K5" i="11"/>
  <c r="J5" i="11"/>
  <c r="J36" i="11" s="1"/>
  <c r="I5" i="11"/>
  <c r="H5" i="11"/>
  <c r="H36" i="11" s="1"/>
  <c r="E5" i="11"/>
  <c r="D5" i="11"/>
  <c r="D36" i="11" s="1"/>
  <c r="C5" i="11"/>
  <c r="Q36" i="10"/>
  <c r="N36" i="10"/>
  <c r="M35" i="10"/>
  <c r="L35" i="10"/>
  <c r="K35" i="10"/>
  <c r="I35" i="10"/>
  <c r="H35" i="10"/>
  <c r="E35" i="10"/>
  <c r="D35" i="10"/>
  <c r="C35" i="10"/>
  <c r="B35" i="10"/>
  <c r="R35" i="10"/>
  <c r="M34" i="10"/>
  <c r="K34" i="10"/>
  <c r="I34" i="10"/>
  <c r="F34" i="10"/>
  <c r="E34" i="10"/>
  <c r="R33" i="10"/>
  <c r="L32" i="10"/>
  <c r="I32" i="10"/>
  <c r="G32" i="10"/>
  <c r="E32" i="10"/>
  <c r="R32" i="10"/>
  <c r="O31" i="10"/>
  <c r="M31" i="10"/>
  <c r="L31" i="10"/>
  <c r="J31" i="10"/>
  <c r="I31" i="10"/>
  <c r="H31" i="10"/>
  <c r="G31" i="10"/>
  <c r="E31" i="10"/>
  <c r="C31" i="10"/>
  <c r="R31" i="10" s="1"/>
  <c r="M30" i="10"/>
  <c r="L30" i="10"/>
  <c r="K30" i="10"/>
  <c r="I30" i="10"/>
  <c r="H30" i="10"/>
  <c r="E30" i="10"/>
  <c r="C30" i="10"/>
  <c r="B30" i="10"/>
  <c r="R30" i="10" s="1"/>
  <c r="R29" i="10"/>
  <c r="M28" i="10"/>
  <c r="L28" i="10"/>
  <c r="K28" i="10"/>
  <c r="I28" i="10"/>
  <c r="H28" i="10"/>
  <c r="G28" i="10"/>
  <c r="E28" i="10"/>
  <c r="C28" i="10"/>
  <c r="R28" i="10" s="1"/>
  <c r="M27" i="10"/>
  <c r="L27" i="10"/>
  <c r="K27" i="10"/>
  <c r="I27" i="10"/>
  <c r="H27" i="10"/>
  <c r="E27" i="10"/>
  <c r="D27" i="10"/>
  <c r="C27" i="10"/>
  <c r="R27" i="10"/>
  <c r="R26" i="10"/>
  <c r="O25" i="10"/>
  <c r="M25" i="10"/>
  <c r="L25" i="10"/>
  <c r="K25" i="10"/>
  <c r="E25" i="10"/>
  <c r="D25" i="10"/>
  <c r="C25" i="10"/>
  <c r="R25" i="10" s="1"/>
  <c r="M24" i="10"/>
  <c r="L24" i="10"/>
  <c r="K24" i="10"/>
  <c r="I24" i="10"/>
  <c r="H24" i="10"/>
  <c r="G24" i="10"/>
  <c r="E24" i="10"/>
  <c r="D24" i="10"/>
  <c r="C24" i="10"/>
  <c r="R24" i="10" s="1"/>
  <c r="P23" i="10"/>
  <c r="O23" i="10"/>
  <c r="M23" i="10"/>
  <c r="L23" i="10"/>
  <c r="K23" i="10"/>
  <c r="I23" i="10"/>
  <c r="G23" i="10"/>
  <c r="E23" i="10"/>
  <c r="D23" i="10"/>
  <c r="C23" i="10"/>
  <c r="R23" i="10"/>
  <c r="O22" i="10"/>
  <c r="M22" i="10"/>
  <c r="L22" i="10"/>
  <c r="K22" i="10"/>
  <c r="I22" i="10"/>
  <c r="G22" i="10"/>
  <c r="E22" i="10"/>
  <c r="D22" i="10"/>
  <c r="C22" i="10"/>
  <c r="B22" i="10"/>
  <c r="R22" i="10" s="1"/>
  <c r="M21" i="10"/>
  <c r="K21" i="10"/>
  <c r="I21" i="10"/>
  <c r="H21" i="10"/>
  <c r="G21" i="10"/>
  <c r="E21" i="10"/>
  <c r="C21" i="10"/>
  <c r="B21" i="10"/>
  <c r="R21" i="10"/>
  <c r="M20" i="10"/>
  <c r="L20" i="10"/>
  <c r="K20" i="10"/>
  <c r="I20" i="10"/>
  <c r="H20" i="10"/>
  <c r="G20" i="10"/>
  <c r="E20" i="10"/>
  <c r="D20" i="10"/>
  <c r="C20" i="10"/>
  <c r="R20" i="10" s="1"/>
  <c r="R19" i="10"/>
  <c r="O18" i="10"/>
  <c r="M18" i="10"/>
  <c r="L18" i="10"/>
  <c r="I18" i="10"/>
  <c r="H18" i="10"/>
  <c r="G18" i="10"/>
  <c r="E18" i="10"/>
  <c r="D18" i="10"/>
  <c r="C18" i="10"/>
  <c r="R18" i="10" s="1"/>
  <c r="O17" i="10"/>
  <c r="M17" i="10"/>
  <c r="L17" i="10"/>
  <c r="K17" i="10"/>
  <c r="J17" i="10"/>
  <c r="J36" i="10" s="1"/>
  <c r="I17" i="10"/>
  <c r="H17" i="10"/>
  <c r="G17" i="10"/>
  <c r="E17" i="10"/>
  <c r="D17" i="10"/>
  <c r="C17" i="10"/>
  <c r="R17" i="10"/>
  <c r="O16" i="10"/>
  <c r="M16" i="10"/>
  <c r="L16" i="10"/>
  <c r="K16" i="10"/>
  <c r="I16" i="10"/>
  <c r="H16" i="10"/>
  <c r="G16" i="10"/>
  <c r="E16" i="10"/>
  <c r="D16" i="10"/>
  <c r="C16" i="10"/>
  <c r="B16" i="10"/>
  <c r="R16" i="10"/>
  <c r="O15" i="10"/>
  <c r="M15" i="10"/>
  <c r="K15" i="10"/>
  <c r="I15" i="10"/>
  <c r="G15" i="10"/>
  <c r="E15" i="10"/>
  <c r="D15" i="10"/>
  <c r="C15" i="10"/>
  <c r="R15" i="10" s="1"/>
  <c r="O14" i="10"/>
  <c r="I14" i="10"/>
  <c r="H14" i="10"/>
  <c r="E14" i="10"/>
  <c r="D14" i="10"/>
  <c r="C14" i="10"/>
  <c r="R14" i="10"/>
  <c r="O13" i="10"/>
  <c r="M13" i="10"/>
  <c r="L13" i="10"/>
  <c r="K13" i="10"/>
  <c r="I13" i="10"/>
  <c r="H13" i="10"/>
  <c r="E13" i="10"/>
  <c r="C13" i="10"/>
  <c r="B13" i="10"/>
  <c r="R13" i="10"/>
  <c r="R12" i="10"/>
  <c r="O11" i="10"/>
  <c r="M11" i="10"/>
  <c r="K11" i="10"/>
  <c r="I11" i="10"/>
  <c r="H11" i="10"/>
  <c r="G11" i="10"/>
  <c r="E11" i="10"/>
  <c r="D11" i="10"/>
  <c r="C11" i="10"/>
  <c r="B11" i="10"/>
  <c r="R11" i="10"/>
  <c r="O10" i="10"/>
  <c r="M10" i="10"/>
  <c r="L10" i="10"/>
  <c r="I10" i="10"/>
  <c r="H10" i="10"/>
  <c r="G10" i="10"/>
  <c r="F10" i="10"/>
  <c r="E10" i="10"/>
  <c r="D10" i="10"/>
  <c r="C10" i="10"/>
  <c r="R10" i="10" s="1"/>
  <c r="O9" i="10"/>
  <c r="M9" i="10"/>
  <c r="I9" i="10"/>
  <c r="G9" i="10"/>
  <c r="G36" i="10"/>
  <c r="E9" i="10"/>
  <c r="D9" i="10"/>
  <c r="C9" i="10"/>
  <c r="O8" i="10"/>
  <c r="M8" i="10"/>
  <c r="L8" i="10"/>
  <c r="K8" i="10"/>
  <c r="I8" i="10"/>
  <c r="H8" i="10"/>
  <c r="F8" i="10"/>
  <c r="E8" i="10"/>
  <c r="D8" i="10"/>
  <c r="C8" i="10"/>
  <c r="B8" i="10"/>
  <c r="R8" i="10" s="1"/>
  <c r="P7" i="10"/>
  <c r="M7" i="10"/>
  <c r="L7" i="10"/>
  <c r="K7" i="10"/>
  <c r="K36" i="10" s="1"/>
  <c r="K38" i="10" s="1"/>
  <c r="I7" i="10"/>
  <c r="H7" i="10"/>
  <c r="F7" i="10"/>
  <c r="F36" i="10"/>
  <c r="E7" i="10"/>
  <c r="C7" i="10"/>
  <c r="B7" i="10"/>
  <c r="R7" i="10"/>
  <c r="P6" i="10"/>
  <c r="P36" i="10"/>
  <c r="Q37" i="10" s="1"/>
  <c r="G75" i="4" s="1"/>
  <c r="O6" i="10"/>
  <c r="O36" i="10"/>
  <c r="M6" i="10"/>
  <c r="M36" i="10"/>
  <c r="L6" i="10"/>
  <c r="L36" i="10"/>
  <c r="H6" i="10"/>
  <c r="H36" i="10"/>
  <c r="E6" i="10"/>
  <c r="E36" i="10"/>
  <c r="D6" i="10"/>
  <c r="D36" i="10"/>
  <c r="C6" i="10"/>
  <c r="C36" i="10"/>
  <c r="B6" i="10"/>
  <c r="B36" i="10"/>
  <c r="C37" i="10" s="1"/>
  <c r="G68" i="4" s="1"/>
  <c r="R5" i="10"/>
  <c r="M37" i="10"/>
  <c r="G73" i="4" s="1"/>
  <c r="B38" i="10"/>
  <c r="K37" i="10"/>
  <c r="R5" i="11"/>
  <c r="R6" i="10"/>
  <c r="R43" i="9"/>
  <c r="M43" i="9"/>
  <c r="M42" i="9"/>
  <c r="K43" i="9"/>
  <c r="K42" i="9"/>
  <c r="K45" i="9" s="1"/>
  <c r="I43" i="9"/>
  <c r="I42" i="9"/>
  <c r="I45" i="9" s="1"/>
  <c r="G43" i="9"/>
  <c r="G42" i="9"/>
  <c r="G45" i="9" s="1"/>
  <c r="E43" i="9"/>
  <c r="E42" i="9"/>
  <c r="E45" i="9" s="1"/>
  <c r="C43" i="9"/>
  <c r="C42" i="9"/>
  <c r="C45" i="9" s="1"/>
  <c r="Q36" i="9"/>
  <c r="N36" i="9"/>
  <c r="R35" i="9"/>
  <c r="O34" i="9"/>
  <c r="M34" i="9"/>
  <c r="L34" i="9"/>
  <c r="K34" i="9"/>
  <c r="I34" i="9"/>
  <c r="H34" i="9"/>
  <c r="G34" i="9"/>
  <c r="E34" i="9"/>
  <c r="D34" i="9"/>
  <c r="C34" i="9"/>
  <c r="B34" i="9"/>
  <c r="O33" i="9"/>
  <c r="M33" i="9"/>
  <c r="L33" i="9"/>
  <c r="K33" i="9"/>
  <c r="I33" i="9"/>
  <c r="H33" i="9"/>
  <c r="E33" i="9"/>
  <c r="D33" i="9"/>
  <c r="C33" i="9"/>
  <c r="R33" i="9" s="1"/>
  <c r="M32" i="9"/>
  <c r="L32" i="9"/>
  <c r="K32" i="9"/>
  <c r="I32" i="9"/>
  <c r="H32" i="9"/>
  <c r="G32" i="9"/>
  <c r="E32" i="9"/>
  <c r="D32" i="9"/>
  <c r="C32" i="9"/>
  <c r="O31" i="9"/>
  <c r="M31" i="9"/>
  <c r="K31" i="9"/>
  <c r="I31" i="9"/>
  <c r="G31" i="9"/>
  <c r="F31" i="9"/>
  <c r="E31" i="9"/>
  <c r="D31" i="9"/>
  <c r="R31" i="9"/>
  <c r="C31" i="9"/>
  <c r="M30" i="9"/>
  <c r="L30" i="9"/>
  <c r="I30" i="9"/>
  <c r="G30" i="9"/>
  <c r="E30" i="9"/>
  <c r="D30" i="9"/>
  <c r="C30" i="9"/>
  <c r="B30" i="9"/>
  <c r="M29" i="9"/>
  <c r="K29" i="9"/>
  <c r="I29" i="9"/>
  <c r="E29" i="9"/>
  <c r="D29" i="9"/>
  <c r="C29" i="9"/>
  <c r="R28" i="9"/>
  <c r="O27" i="9"/>
  <c r="M27" i="9"/>
  <c r="L27" i="9"/>
  <c r="K27" i="9"/>
  <c r="I27" i="9"/>
  <c r="H27" i="9"/>
  <c r="G27" i="9"/>
  <c r="E27" i="9"/>
  <c r="D27" i="9"/>
  <c r="C27" i="9"/>
  <c r="R27" i="9" s="1"/>
  <c r="M26" i="9"/>
  <c r="L26" i="9"/>
  <c r="K26" i="9"/>
  <c r="J26" i="9"/>
  <c r="I26" i="9"/>
  <c r="H26" i="9"/>
  <c r="E26" i="9"/>
  <c r="D26" i="9"/>
  <c r="R26" i="9"/>
  <c r="C26" i="9"/>
  <c r="O25" i="9"/>
  <c r="M25" i="9"/>
  <c r="K25" i="9"/>
  <c r="I25" i="9"/>
  <c r="H25" i="9"/>
  <c r="G25" i="9"/>
  <c r="E25" i="9"/>
  <c r="C25" i="9"/>
  <c r="B25" i="9"/>
  <c r="O24" i="9"/>
  <c r="M24" i="9"/>
  <c r="K24" i="9"/>
  <c r="J24" i="9"/>
  <c r="I24" i="9"/>
  <c r="H24" i="9"/>
  <c r="G24" i="9"/>
  <c r="E24" i="9"/>
  <c r="C24" i="9"/>
  <c r="R24" i="9" s="1"/>
  <c r="M23" i="9"/>
  <c r="I23" i="9"/>
  <c r="E23" i="9"/>
  <c r="D23" i="9"/>
  <c r="C23" i="9"/>
  <c r="P22" i="9"/>
  <c r="M22" i="9"/>
  <c r="K22" i="9"/>
  <c r="J22" i="9"/>
  <c r="I22" i="9"/>
  <c r="G22" i="9"/>
  <c r="E22" i="9"/>
  <c r="D22" i="9"/>
  <c r="C22" i="9"/>
  <c r="B22" i="9"/>
  <c r="R22" i="9"/>
  <c r="R21" i="9"/>
  <c r="O20" i="9"/>
  <c r="M20" i="9"/>
  <c r="L20" i="9"/>
  <c r="K20" i="9"/>
  <c r="J20" i="9"/>
  <c r="I20" i="9"/>
  <c r="H20" i="9"/>
  <c r="G20" i="9"/>
  <c r="E20" i="9"/>
  <c r="D20" i="9"/>
  <c r="C20" i="9"/>
  <c r="B20" i="9"/>
  <c r="M19" i="9"/>
  <c r="L19" i="9"/>
  <c r="I19" i="9"/>
  <c r="G19" i="9"/>
  <c r="E19" i="9"/>
  <c r="D19" i="9"/>
  <c r="C19" i="9"/>
  <c r="R19" i="9" s="1"/>
  <c r="M18" i="9"/>
  <c r="L18" i="9"/>
  <c r="K18" i="9"/>
  <c r="I18" i="9"/>
  <c r="G18" i="9"/>
  <c r="E18" i="9"/>
  <c r="D18" i="9"/>
  <c r="C18" i="9"/>
  <c r="B18" i="9"/>
  <c r="O17" i="9"/>
  <c r="M17" i="9"/>
  <c r="K17" i="9"/>
  <c r="G17" i="9"/>
  <c r="F17" i="9"/>
  <c r="R17" i="9"/>
  <c r="O16" i="9"/>
  <c r="M16" i="9"/>
  <c r="L16" i="9"/>
  <c r="K16" i="9"/>
  <c r="I16" i="9"/>
  <c r="H16" i="9"/>
  <c r="G16" i="9"/>
  <c r="F16" i="9"/>
  <c r="F36" i="9" s="1"/>
  <c r="E16" i="9"/>
  <c r="D16" i="9"/>
  <c r="C16" i="9"/>
  <c r="P15" i="9"/>
  <c r="P36" i="9"/>
  <c r="Q37" i="9" s="1"/>
  <c r="F74" i="4" s="1"/>
  <c r="O15" i="9"/>
  <c r="M15" i="9"/>
  <c r="K15" i="9"/>
  <c r="I15" i="9"/>
  <c r="E15" i="9"/>
  <c r="D15" i="9"/>
  <c r="C15" i="9"/>
  <c r="R14" i="9"/>
  <c r="O13" i="9"/>
  <c r="M13" i="9"/>
  <c r="L13" i="9"/>
  <c r="K13" i="9"/>
  <c r="I13" i="9"/>
  <c r="H13" i="9"/>
  <c r="G13" i="9"/>
  <c r="E13" i="9"/>
  <c r="D13" i="9"/>
  <c r="C13" i="9"/>
  <c r="B13" i="9"/>
  <c r="O12" i="9"/>
  <c r="K12" i="9"/>
  <c r="J12" i="9"/>
  <c r="I12" i="9"/>
  <c r="G12" i="9"/>
  <c r="E12" i="9"/>
  <c r="D12" i="9"/>
  <c r="C12" i="9"/>
  <c r="O11" i="9"/>
  <c r="K11" i="9"/>
  <c r="I11" i="9"/>
  <c r="G11" i="9"/>
  <c r="E11" i="9"/>
  <c r="D11" i="9"/>
  <c r="C11" i="9"/>
  <c r="O10" i="9"/>
  <c r="M10" i="9"/>
  <c r="K10" i="9"/>
  <c r="I10" i="9"/>
  <c r="H10" i="9"/>
  <c r="E10" i="9"/>
  <c r="C10" i="9"/>
  <c r="R10" i="9" s="1"/>
  <c r="M9" i="9"/>
  <c r="L9" i="9"/>
  <c r="K9" i="9"/>
  <c r="J9" i="9"/>
  <c r="I9" i="9"/>
  <c r="H9" i="9"/>
  <c r="E9" i="9"/>
  <c r="D9" i="9"/>
  <c r="C9" i="9"/>
  <c r="B9" i="9"/>
  <c r="K8" i="9"/>
  <c r="K36" i="9"/>
  <c r="I8" i="9"/>
  <c r="H8" i="9"/>
  <c r="E8" i="9"/>
  <c r="D8" i="9"/>
  <c r="C8" i="9"/>
  <c r="R7" i="9"/>
  <c r="O6" i="9"/>
  <c r="M6" i="9"/>
  <c r="M36" i="9" s="1"/>
  <c r="J6" i="9"/>
  <c r="I6" i="9"/>
  <c r="H6" i="9"/>
  <c r="G6" i="9"/>
  <c r="E6" i="9"/>
  <c r="D6" i="9"/>
  <c r="C6" i="9"/>
  <c r="B6" i="9"/>
  <c r="R6" i="9" s="1"/>
  <c r="O5" i="9"/>
  <c r="M5" i="9"/>
  <c r="L5" i="9"/>
  <c r="I5" i="9"/>
  <c r="G5" i="9"/>
  <c r="E5" i="9"/>
  <c r="E36" i="9"/>
  <c r="D5" i="9"/>
  <c r="C5" i="9"/>
  <c r="C36" i="9" s="1"/>
  <c r="B5" i="9"/>
  <c r="L76" i="4"/>
  <c r="M76" i="4"/>
  <c r="N76" i="4"/>
  <c r="I76" i="4"/>
  <c r="J76" i="4"/>
  <c r="K76" i="4"/>
  <c r="B5" i="6"/>
  <c r="B36" i="6" s="1"/>
  <c r="C5" i="6"/>
  <c r="D5" i="6"/>
  <c r="E5" i="6"/>
  <c r="G5" i="6"/>
  <c r="H5" i="6"/>
  <c r="I5" i="6"/>
  <c r="K5" i="6"/>
  <c r="L5" i="6"/>
  <c r="O5" i="6"/>
  <c r="R5" i="6"/>
  <c r="C6" i="6"/>
  <c r="D6" i="6"/>
  <c r="E6" i="6"/>
  <c r="G6" i="6"/>
  <c r="H6" i="6"/>
  <c r="I6" i="6"/>
  <c r="J6" i="6"/>
  <c r="K6" i="6"/>
  <c r="K36" i="6" s="1"/>
  <c r="L6" i="6"/>
  <c r="M6" i="6"/>
  <c r="O6" i="6"/>
  <c r="R6" i="6"/>
  <c r="B7" i="6"/>
  <c r="C7" i="6"/>
  <c r="C36" i="6" s="1"/>
  <c r="D7" i="6"/>
  <c r="E7" i="6"/>
  <c r="E36" i="6" s="1"/>
  <c r="G7" i="6"/>
  <c r="H7" i="6"/>
  <c r="H36" i="6" s="1"/>
  <c r="I7" i="6"/>
  <c r="K7" i="6"/>
  <c r="L7" i="6"/>
  <c r="M7" i="6"/>
  <c r="O7" i="6"/>
  <c r="R7" i="6"/>
  <c r="B8" i="6"/>
  <c r="C8" i="6"/>
  <c r="D8" i="6"/>
  <c r="E8" i="6"/>
  <c r="G8" i="6"/>
  <c r="I8" i="6"/>
  <c r="J8" i="6"/>
  <c r="K8" i="6"/>
  <c r="L8" i="6"/>
  <c r="M8" i="6"/>
  <c r="O8" i="6"/>
  <c r="R8" i="6"/>
  <c r="C9" i="6"/>
  <c r="D9" i="6"/>
  <c r="R9" i="6" s="1"/>
  <c r="E9" i="6"/>
  <c r="G9" i="6"/>
  <c r="H9" i="6"/>
  <c r="I9" i="6"/>
  <c r="K9" i="6"/>
  <c r="L9" i="6"/>
  <c r="M9" i="6"/>
  <c r="O9" i="6"/>
  <c r="P9" i="6"/>
  <c r="Q9" i="6"/>
  <c r="R10" i="6"/>
  <c r="C11" i="6"/>
  <c r="D11" i="6"/>
  <c r="E11" i="6"/>
  <c r="G11" i="6"/>
  <c r="H11" i="6"/>
  <c r="I11" i="6"/>
  <c r="J11" i="6"/>
  <c r="K11" i="6"/>
  <c r="L11" i="6"/>
  <c r="M11" i="6"/>
  <c r="O11" i="6"/>
  <c r="R11" i="6"/>
  <c r="C12" i="6"/>
  <c r="E12" i="6"/>
  <c r="H12" i="6"/>
  <c r="I12" i="6"/>
  <c r="K12" i="6"/>
  <c r="M12" i="6"/>
  <c r="O12" i="6"/>
  <c r="R12" i="6"/>
  <c r="B13" i="6"/>
  <c r="C13" i="6"/>
  <c r="E13" i="6"/>
  <c r="G13" i="6"/>
  <c r="H13" i="6"/>
  <c r="I13" i="6"/>
  <c r="K13" i="6"/>
  <c r="M13" i="6"/>
  <c r="O13" i="6"/>
  <c r="R13" i="6"/>
  <c r="C14" i="6"/>
  <c r="D14" i="6"/>
  <c r="R14" i="6" s="1"/>
  <c r="E14" i="6"/>
  <c r="G14" i="6"/>
  <c r="I14" i="6"/>
  <c r="K14" i="6"/>
  <c r="M14" i="6"/>
  <c r="O14" i="6"/>
  <c r="C15" i="6"/>
  <c r="R15" i="6" s="1"/>
  <c r="D15" i="6"/>
  <c r="E15" i="6"/>
  <c r="G15" i="6"/>
  <c r="H15" i="6"/>
  <c r="I15" i="6"/>
  <c r="J15" i="6"/>
  <c r="K15" i="6"/>
  <c r="L15" i="6"/>
  <c r="M15" i="6"/>
  <c r="O15" i="6"/>
  <c r="B16" i="6"/>
  <c r="C16" i="6"/>
  <c r="E16" i="6"/>
  <c r="G16" i="6"/>
  <c r="H16" i="6"/>
  <c r="I16" i="6"/>
  <c r="J16" i="6"/>
  <c r="L16" i="6"/>
  <c r="M16" i="6"/>
  <c r="O16" i="6"/>
  <c r="R16" i="6"/>
  <c r="R17" i="6"/>
  <c r="C18" i="6"/>
  <c r="D18" i="6"/>
  <c r="E18" i="6"/>
  <c r="F18" i="6"/>
  <c r="I18" i="6"/>
  <c r="O18" i="6"/>
  <c r="R18" i="6"/>
  <c r="C19" i="6"/>
  <c r="F19" i="6"/>
  <c r="F36" i="6" s="1"/>
  <c r="G19" i="6"/>
  <c r="I19" i="6"/>
  <c r="O19" i="6"/>
  <c r="R19" i="6"/>
  <c r="C20" i="6"/>
  <c r="D20" i="6"/>
  <c r="E20" i="6"/>
  <c r="F20" i="6"/>
  <c r="G20" i="6"/>
  <c r="H20" i="6"/>
  <c r="I20" i="6"/>
  <c r="K20" i="6"/>
  <c r="L20" i="6"/>
  <c r="M20" i="6"/>
  <c r="O20" i="6"/>
  <c r="R20" i="6"/>
  <c r="C21" i="6"/>
  <c r="D21" i="6"/>
  <c r="R21" i="6" s="1"/>
  <c r="E21" i="6"/>
  <c r="H21" i="6"/>
  <c r="I21" i="6"/>
  <c r="J21" i="6"/>
  <c r="K21" i="6"/>
  <c r="L21" i="6"/>
  <c r="M21" i="6"/>
  <c r="O21" i="6"/>
  <c r="C22" i="6"/>
  <c r="D22" i="6"/>
  <c r="E22" i="6"/>
  <c r="H22" i="6"/>
  <c r="I22" i="6"/>
  <c r="K22" i="6"/>
  <c r="L22" i="6"/>
  <c r="O22" i="6"/>
  <c r="R22" i="6"/>
  <c r="C23" i="6"/>
  <c r="D23" i="6"/>
  <c r="R23" i="6" s="1"/>
  <c r="E23" i="6"/>
  <c r="G23" i="6"/>
  <c r="I23" i="6"/>
  <c r="J23" i="6"/>
  <c r="K23" i="6"/>
  <c r="L23" i="6"/>
  <c r="M23" i="6"/>
  <c r="O23" i="6"/>
  <c r="R24" i="6"/>
  <c r="C25" i="6"/>
  <c r="E25" i="6"/>
  <c r="F25" i="6"/>
  <c r="H25" i="6"/>
  <c r="I25" i="6"/>
  <c r="K25" i="6"/>
  <c r="L25" i="6"/>
  <c r="M25" i="6"/>
  <c r="O25" i="6"/>
  <c r="R25" i="6"/>
  <c r="B26" i="6"/>
  <c r="C26" i="6"/>
  <c r="D26" i="6"/>
  <c r="E26" i="6"/>
  <c r="F26" i="6"/>
  <c r="H26" i="6"/>
  <c r="I26" i="6"/>
  <c r="J26" i="6"/>
  <c r="K26" i="6"/>
  <c r="M26" i="6"/>
  <c r="O26" i="6"/>
  <c r="R26" i="6"/>
  <c r="C27" i="6"/>
  <c r="D27" i="6"/>
  <c r="E27" i="6"/>
  <c r="H27" i="6"/>
  <c r="I27" i="6"/>
  <c r="K27" i="6"/>
  <c r="L27" i="6"/>
  <c r="M27" i="6"/>
  <c r="O27" i="6"/>
  <c r="R27" i="6"/>
  <c r="C28" i="6"/>
  <c r="D28" i="6"/>
  <c r="E28" i="6"/>
  <c r="I28" i="6"/>
  <c r="K28" i="6"/>
  <c r="M28" i="6"/>
  <c r="O28" i="6"/>
  <c r="R28" i="6"/>
  <c r="R29" i="6"/>
  <c r="B30" i="6"/>
  <c r="R30" i="6" s="1"/>
  <c r="C30" i="6"/>
  <c r="D30" i="6"/>
  <c r="E30" i="6"/>
  <c r="F30" i="6"/>
  <c r="H30" i="6"/>
  <c r="I30" i="6"/>
  <c r="K30" i="6"/>
  <c r="L30" i="6"/>
  <c r="M30" i="6"/>
  <c r="O30" i="6"/>
  <c r="R31" i="6"/>
  <c r="C32" i="6"/>
  <c r="D32" i="6"/>
  <c r="R32" i="6" s="1"/>
  <c r="E32" i="6"/>
  <c r="H32" i="6"/>
  <c r="I32" i="6"/>
  <c r="J32" i="6"/>
  <c r="K32" i="6"/>
  <c r="M32" i="6"/>
  <c r="O32" i="6"/>
  <c r="O36" i="6" s="1"/>
  <c r="P32" i="6"/>
  <c r="C33" i="6"/>
  <c r="R33" i="6" s="1"/>
  <c r="E33" i="6"/>
  <c r="H33" i="6"/>
  <c r="I33" i="6"/>
  <c r="K33" i="6"/>
  <c r="L33" i="6"/>
  <c r="M33" i="6"/>
  <c r="O33" i="6"/>
  <c r="B34" i="6"/>
  <c r="C34" i="6"/>
  <c r="D34" i="6"/>
  <c r="E34" i="6"/>
  <c r="R34" i="6" s="1"/>
  <c r="F34" i="6"/>
  <c r="I34" i="6"/>
  <c r="K34" i="6"/>
  <c r="L34" i="6"/>
  <c r="M34" i="6"/>
  <c r="O34" i="6"/>
  <c r="B35" i="6"/>
  <c r="R35" i="6" s="1"/>
  <c r="D35" i="6"/>
  <c r="I35" i="6"/>
  <c r="I36" i="6"/>
  <c r="K35" i="6"/>
  <c r="L35" i="6"/>
  <c r="M35" i="6"/>
  <c r="O35" i="6"/>
  <c r="D36" i="6"/>
  <c r="G36" i="6"/>
  <c r="J36" i="6"/>
  <c r="K37" i="6" s="1"/>
  <c r="L36" i="6"/>
  <c r="M37" i="6" s="1"/>
  <c r="E73" i="4" s="1"/>
  <c r="M36" i="6"/>
  <c r="N36" i="6"/>
  <c r="P36" i="6"/>
  <c r="Q37" i="6" s="1"/>
  <c r="E74" i="4" s="1"/>
  <c r="Q36" i="6"/>
  <c r="C42" i="6"/>
  <c r="E42" i="6"/>
  <c r="G42" i="6"/>
  <c r="Q42" i="6" s="1"/>
  <c r="E62" i="2" s="1"/>
  <c r="I42" i="6"/>
  <c r="K42" i="6"/>
  <c r="M42" i="6"/>
  <c r="M40" i="5"/>
  <c r="K40" i="5"/>
  <c r="I40" i="5"/>
  <c r="G40" i="5"/>
  <c r="E40" i="5"/>
  <c r="C40" i="5"/>
  <c r="P39" i="5" s="1"/>
  <c r="D62" i="2" s="1"/>
  <c r="P33" i="5"/>
  <c r="P32" i="5"/>
  <c r="O31" i="5"/>
  <c r="M31" i="5"/>
  <c r="L31" i="5"/>
  <c r="K31" i="5"/>
  <c r="J31" i="5"/>
  <c r="I31" i="5"/>
  <c r="H31" i="5"/>
  <c r="E31" i="5"/>
  <c r="D31" i="5"/>
  <c r="P30" i="5"/>
  <c r="O29" i="5"/>
  <c r="M29" i="5"/>
  <c r="L29" i="5"/>
  <c r="K29" i="5"/>
  <c r="I29" i="5"/>
  <c r="H29" i="5"/>
  <c r="G29" i="5"/>
  <c r="F29" i="5"/>
  <c r="E29" i="5"/>
  <c r="D29" i="5"/>
  <c r="P29" i="5"/>
  <c r="C29" i="5"/>
  <c r="O28" i="5"/>
  <c r="K28" i="5"/>
  <c r="J28" i="5"/>
  <c r="H28" i="5"/>
  <c r="E28" i="5"/>
  <c r="D28" i="5"/>
  <c r="C28" i="5"/>
  <c r="B28" i="5"/>
  <c r="O27" i="5"/>
  <c r="M27" i="5"/>
  <c r="K27" i="5"/>
  <c r="I27" i="5"/>
  <c r="I34" i="5"/>
  <c r="H27" i="5"/>
  <c r="E27" i="5"/>
  <c r="D27" i="5"/>
  <c r="C27" i="5"/>
  <c r="P27" i="5" s="1"/>
  <c r="K26" i="5"/>
  <c r="J26" i="5"/>
  <c r="G26" i="5"/>
  <c r="E26" i="5"/>
  <c r="P26" i="5"/>
  <c r="C26" i="5"/>
  <c r="O25" i="5"/>
  <c r="M25" i="5"/>
  <c r="K25" i="5"/>
  <c r="E25" i="5"/>
  <c r="D25" i="5"/>
  <c r="C25" i="5"/>
  <c r="B25" i="5"/>
  <c r="O24" i="5"/>
  <c r="M24" i="5"/>
  <c r="K24" i="5"/>
  <c r="H24" i="5"/>
  <c r="G24" i="5"/>
  <c r="E24" i="5"/>
  <c r="D24" i="5"/>
  <c r="C24" i="5"/>
  <c r="P24" i="5" s="1"/>
  <c r="P23" i="5"/>
  <c r="O22" i="5"/>
  <c r="M22" i="5"/>
  <c r="L22" i="5"/>
  <c r="K22" i="5"/>
  <c r="H22" i="5"/>
  <c r="G22" i="5"/>
  <c r="E22" i="5"/>
  <c r="D22" i="5"/>
  <c r="C22" i="5"/>
  <c r="B22" i="5"/>
  <c r="O21" i="5"/>
  <c r="M21" i="5"/>
  <c r="K21" i="5"/>
  <c r="J21" i="5"/>
  <c r="G21" i="5"/>
  <c r="F21" i="5"/>
  <c r="F34" i="5" s="1"/>
  <c r="E21" i="5"/>
  <c r="D21" i="5"/>
  <c r="C21" i="5"/>
  <c r="B21" i="5"/>
  <c r="O20" i="5"/>
  <c r="M20" i="5"/>
  <c r="L20" i="5"/>
  <c r="K20" i="5"/>
  <c r="G20" i="5"/>
  <c r="E20" i="5"/>
  <c r="D20" i="5"/>
  <c r="C20" i="5"/>
  <c r="P20" i="5"/>
  <c r="M19" i="5"/>
  <c r="K19" i="5"/>
  <c r="J19" i="5"/>
  <c r="H19" i="5"/>
  <c r="G19" i="5"/>
  <c r="C19" i="5"/>
  <c r="P19" i="5" s="1"/>
  <c r="K18" i="5"/>
  <c r="H18" i="5"/>
  <c r="E18" i="5"/>
  <c r="C18" i="5"/>
  <c r="P18" i="5"/>
  <c r="O17" i="5"/>
  <c r="N17" i="5"/>
  <c r="N34" i="5" s="1"/>
  <c r="M17" i="5"/>
  <c r="L17" i="5"/>
  <c r="K17" i="5"/>
  <c r="J17" i="5"/>
  <c r="H17" i="5"/>
  <c r="E17" i="5"/>
  <c r="D17" i="5"/>
  <c r="C17" i="5"/>
  <c r="B17" i="5"/>
  <c r="P16" i="5"/>
  <c r="O15" i="5"/>
  <c r="M15" i="5"/>
  <c r="K15" i="5"/>
  <c r="H15" i="5"/>
  <c r="G15" i="5"/>
  <c r="E15" i="5"/>
  <c r="D15" i="5"/>
  <c r="C15" i="5"/>
  <c r="P15" i="5"/>
  <c r="O14" i="5"/>
  <c r="M14" i="5"/>
  <c r="L14" i="5"/>
  <c r="K14" i="5"/>
  <c r="G14" i="5"/>
  <c r="D14" i="5"/>
  <c r="C14" i="5"/>
  <c r="B14" i="5"/>
  <c r="P14" i="5" s="1"/>
  <c r="O13" i="5"/>
  <c r="M13" i="5"/>
  <c r="L13" i="5"/>
  <c r="K13" i="5"/>
  <c r="G13" i="5"/>
  <c r="D13" i="5"/>
  <c r="P13" i="5"/>
  <c r="C13" i="5"/>
  <c r="O12" i="5"/>
  <c r="L12" i="5"/>
  <c r="K12" i="5"/>
  <c r="J12" i="5"/>
  <c r="E12" i="5"/>
  <c r="D12" i="5"/>
  <c r="O11" i="5"/>
  <c r="L11" i="5"/>
  <c r="G11" i="5"/>
  <c r="P11" i="5" s="1"/>
  <c r="P10" i="5"/>
  <c r="P9" i="5"/>
  <c r="O8" i="5"/>
  <c r="M8" i="5"/>
  <c r="K8" i="5"/>
  <c r="G8" i="5"/>
  <c r="E8" i="5"/>
  <c r="D8" i="5"/>
  <c r="C8" i="5"/>
  <c r="O7" i="5"/>
  <c r="L7" i="5"/>
  <c r="G7" i="5"/>
  <c r="E7" i="5"/>
  <c r="D7" i="5"/>
  <c r="C7" i="5"/>
  <c r="O6" i="5"/>
  <c r="M6" i="5"/>
  <c r="L6" i="5"/>
  <c r="K6" i="5"/>
  <c r="E6" i="5"/>
  <c r="D6" i="5"/>
  <c r="C6" i="5"/>
  <c r="O5" i="5"/>
  <c r="M5" i="5"/>
  <c r="L5" i="5"/>
  <c r="K5" i="5"/>
  <c r="J5" i="5"/>
  <c r="J34" i="5" s="1"/>
  <c r="H5" i="5"/>
  <c r="G5" i="5"/>
  <c r="E5" i="5"/>
  <c r="D5" i="5"/>
  <c r="C5" i="5"/>
  <c r="B5" i="5"/>
  <c r="P5" i="5" s="1"/>
  <c r="O4" i="5"/>
  <c r="L4" i="5"/>
  <c r="K4" i="5"/>
  <c r="H4" i="5"/>
  <c r="G4" i="5"/>
  <c r="E4" i="5"/>
  <c r="D4" i="5"/>
  <c r="C4" i="5"/>
  <c r="B4" i="5"/>
  <c r="O3" i="5"/>
  <c r="M3" i="5"/>
  <c r="M34" i="5"/>
  <c r="L3" i="5"/>
  <c r="L34" i="5"/>
  <c r="K3" i="5"/>
  <c r="K34" i="5"/>
  <c r="G3" i="5"/>
  <c r="G34" i="5"/>
  <c r="E3" i="5"/>
  <c r="E34" i="5"/>
  <c r="D3" i="5"/>
  <c r="D34" i="5"/>
  <c r="C3" i="5"/>
  <c r="P3" i="5"/>
  <c r="B3" i="5"/>
  <c r="B34" i="5"/>
  <c r="N52" i="4"/>
  <c r="M52" i="4"/>
  <c r="L52" i="4"/>
  <c r="K52" i="4"/>
  <c r="J52" i="4"/>
  <c r="I52" i="4"/>
  <c r="F81" i="4"/>
  <c r="G81" i="4"/>
  <c r="G83" i="4" s="1"/>
  <c r="H81" i="4"/>
  <c r="H83" i="4" s="1"/>
  <c r="J81" i="4"/>
  <c r="J83" i="4" s="1"/>
  <c r="K81" i="4"/>
  <c r="K83" i="4" s="1"/>
  <c r="M57" i="2"/>
  <c r="L81" i="4"/>
  <c r="L83" i="4" s="1"/>
  <c r="M81" i="4"/>
  <c r="M83" i="4" s="1"/>
  <c r="N81" i="4"/>
  <c r="N83" i="4" s="1"/>
  <c r="C99" i="4"/>
  <c r="D99" i="4"/>
  <c r="D107" i="4" s="1"/>
  <c r="F99" i="4"/>
  <c r="G99" i="4"/>
  <c r="H99" i="4"/>
  <c r="I99" i="4"/>
  <c r="J99" i="4"/>
  <c r="K99" i="4"/>
  <c r="M99" i="4"/>
  <c r="N99" i="4"/>
  <c r="C100" i="4"/>
  <c r="D100" i="4"/>
  <c r="F100" i="4"/>
  <c r="G100" i="4"/>
  <c r="H100" i="4"/>
  <c r="I100" i="4"/>
  <c r="J100" i="4"/>
  <c r="C101" i="4"/>
  <c r="D101" i="4"/>
  <c r="F101" i="4"/>
  <c r="G101" i="4"/>
  <c r="H101" i="4"/>
  <c r="I101" i="4"/>
  <c r="J101" i="4"/>
  <c r="K101" i="4"/>
  <c r="M101" i="4"/>
  <c r="N101" i="4"/>
  <c r="C102" i="4"/>
  <c r="D102" i="4"/>
  <c r="F102" i="4"/>
  <c r="G102" i="4"/>
  <c r="H102" i="4"/>
  <c r="I102" i="4"/>
  <c r="J102" i="4"/>
  <c r="K102" i="4"/>
  <c r="M102" i="4"/>
  <c r="N102" i="4"/>
  <c r="C103" i="4"/>
  <c r="D103" i="4"/>
  <c r="F103" i="4"/>
  <c r="G103" i="4"/>
  <c r="H103" i="4"/>
  <c r="I103" i="4"/>
  <c r="J103" i="4"/>
  <c r="K103" i="4"/>
  <c r="M103" i="4"/>
  <c r="N103" i="4"/>
  <c r="C104" i="4"/>
  <c r="D104" i="4"/>
  <c r="F104" i="4"/>
  <c r="G104" i="4"/>
  <c r="I104" i="4"/>
  <c r="J104" i="4"/>
  <c r="C105" i="4"/>
  <c r="D105" i="4"/>
  <c r="E105" i="4"/>
  <c r="E107" i="4" s="1"/>
  <c r="E95" i="4" s="1"/>
  <c r="F105" i="4"/>
  <c r="G105" i="4"/>
  <c r="H105" i="4"/>
  <c r="I105" i="4"/>
  <c r="J105" i="4"/>
  <c r="K105" i="4"/>
  <c r="M105" i="4"/>
  <c r="N105" i="4"/>
  <c r="G106" i="4"/>
  <c r="H106" i="4"/>
  <c r="I106" i="4"/>
  <c r="J106" i="4"/>
  <c r="K106" i="4"/>
  <c r="M106" i="4"/>
  <c r="N106" i="4"/>
  <c r="J150" i="4"/>
  <c r="I150" i="4"/>
  <c r="G150" i="4"/>
  <c r="F150" i="4"/>
  <c r="E150" i="4"/>
  <c r="C150" i="4"/>
  <c r="J149" i="4"/>
  <c r="I149" i="4"/>
  <c r="G149" i="4"/>
  <c r="F149" i="4"/>
  <c r="E149" i="4"/>
  <c r="C149" i="4"/>
  <c r="I147" i="4"/>
  <c r="H147" i="4"/>
  <c r="H155" i="4" s="1"/>
  <c r="G147" i="4"/>
  <c r="F147" i="4"/>
  <c r="E147" i="4"/>
  <c r="D147" i="4"/>
  <c r="K146" i="4"/>
  <c r="K145" i="4"/>
  <c r="K144" i="4"/>
  <c r="K143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N134" i="4"/>
  <c r="M134" i="4"/>
  <c r="L134" i="4"/>
  <c r="L125" i="4" s="1"/>
  <c r="K134" i="4"/>
  <c r="J134" i="4"/>
  <c r="J125" i="4" s="1"/>
  <c r="I134" i="4"/>
  <c r="H134" i="4"/>
  <c r="H125" i="4" s="1"/>
  <c r="G134" i="4"/>
  <c r="F134" i="4"/>
  <c r="F125" i="4" s="1"/>
  <c r="E134" i="4"/>
  <c r="D134" i="4"/>
  <c r="C134" i="4"/>
  <c r="N133" i="4"/>
  <c r="N124" i="4" s="1"/>
  <c r="M133" i="4"/>
  <c r="L133" i="4"/>
  <c r="K133" i="4"/>
  <c r="J133" i="4"/>
  <c r="I133" i="4"/>
  <c r="H133" i="4"/>
  <c r="G133" i="4"/>
  <c r="F133" i="4"/>
  <c r="E133" i="4"/>
  <c r="D133" i="4"/>
  <c r="D124" i="4" s="1"/>
  <c r="C133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N130" i="4"/>
  <c r="N136" i="4" s="1"/>
  <c r="N127" i="4" s="1"/>
  <c r="M130" i="4"/>
  <c r="M136" i="4" s="1"/>
  <c r="M114" i="4" s="1"/>
  <c r="M116" i="4" s="1"/>
  <c r="L130" i="4"/>
  <c r="L136" i="4" s="1"/>
  <c r="L114" i="4" s="1"/>
  <c r="L116" i="4" s="1"/>
  <c r="K130" i="4"/>
  <c r="K136" i="4" s="1"/>
  <c r="K127" i="4" s="1"/>
  <c r="J130" i="4"/>
  <c r="J136" i="4" s="1"/>
  <c r="J114" i="4" s="1"/>
  <c r="J116" i="4" s="1"/>
  <c r="I130" i="4"/>
  <c r="I136" i="4" s="1"/>
  <c r="I127" i="4" s="1"/>
  <c r="H130" i="4"/>
  <c r="H136" i="4" s="1"/>
  <c r="H114" i="4" s="1"/>
  <c r="H116" i="4" s="1"/>
  <c r="G130" i="4"/>
  <c r="G136" i="4" s="1"/>
  <c r="G114" i="4" s="1"/>
  <c r="G116" i="4" s="1"/>
  <c r="F130" i="4"/>
  <c r="F136" i="4" s="1"/>
  <c r="F114" i="4" s="1"/>
  <c r="F116" i="4" s="1"/>
  <c r="E130" i="4"/>
  <c r="E136" i="4" s="1"/>
  <c r="E114" i="4" s="1"/>
  <c r="E116" i="4" s="1"/>
  <c r="D130" i="4"/>
  <c r="D136" i="4" s="1"/>
  <c r="D127" i="4" s="1"/>
  <c r="C130" i="4"/>
  <c r="C136" i="4" s="1"/>
  <c r="C127" i="4" s="1"/>
  <c r="L107" i="4"/>
  <c r="L92" i="4" s="1"/>
  <c r="G152" i="4" s="1"/>
  <c r="L90" i="4"/>
  <c r="E152" i="4" s="1"/>
  <c r="F83" i="4"/>
  <c r="D57" i="3"/>
  <c r="K55" i="3"/>
  <c r="K59" i="3" s="1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P54" i="3"/>
  <c r="O53" i="3"/>
  <c r="N53" i="3"/>
  <c r="M53" i="3"/>
  <c r="L53" i="3"/>
  <c r="K53" i="3"/>
  <c r="J53" i="3"/>
  <c r="I53" i="3"/>
  <c r="H53" i="3"/>
  <c r="H61" i="3" s="1"/>
  <c r="H62" i="3" s="1"/>
  <c r="G53" i="3"/>
  <c r="F53" i="3"/>
  <c r="E53" i="3"/>
  <c r="D53" i="3"/>
  <c r="C53" i="3"/>
  <c r="P53" i="3"/>
  <c r="O57" i="2"/>
  <c r="O55" i="3" s="1"/>
  <c r="N57" i="2"/>
  <c r="N55" i="3" s="1"/>
  <c r="L57" i="2"/>
  <c r="L55" i="3" s="1"/>
  <c r="J57" i="2"/>
  <c r="J66" i="2" s="1"/>
  <c r="J67" i="2" s="1"/>
  <c r="I57" i="2"/>
  <c r="I55" i="3" s="1"/>
  <c r="H57" i="2"/>
  <c r="H55" i="3" s="1"/>
  <c r="I58" i="3" s="1"/>
  <c r="G57" i="2"/>
  <c r="F57" i="2"/>
  <c r="F66" i="2" s="1"/>
  <c r="F67" i="2" s="1"/>
  <c r="E57" i="2"/>
  <c r="E55" i="3" s="1"/>
  <c r="D57" i="2"/>
  <c r="D58" i="2" s="1"/>
  <c r="E58" i="2" s="1"/>
  <c r="F58" i="2" s="1"/>
  <c r="G58" i="2" s="1"/>
  <c r="H58" i="2" s="1"/>
  <c r="I58" i="2" s="1"/>
  <c r="C57" i="2"/>
  <c r="C55" i="3" s="1"/>
  <c r="C59" i="3"/>
  <c r="O55" i="2"/>
  <c r="N55" i="2"/>
  <c r="M55" i="2"/>
  <c r="L55" i="2"/>
  <c r="K55" i="2"/>
  <c r="K66" i="2"/>
  <c r="K67" i="2" s="1"/>
  <c r="J55" i="2"/>
  <c r="I55" i="2"/>
  <c r="H55" i="2"/>
  <c r="G55" i="2"/>
  <c r="H76" i="2" s="1"/>
  <c r="F55" i="2"/>
  <c r="E55" i="2"/>
  <c r="D55" i="2"/>
  <c r="C55" i="2"/>
  <c r="C56" i="2" s="1"/>
  <c r="D56" i="2" s="1"/>
  <c r="E56" i="2" s="1"/>
  <c r="F56" i="2" s="1"/>
  <c r="G56" i="2" s="1"/>
  <c r="H56" i="2" s="1"/>
  <c r="I56" i="2" s="1"/>
  <c r="J56" i="2" s="1"/>
  <c r="K56" i="2" s="1"/>
  <c r="L56" i="2" s="1"/>
  <c r="M56" i="2" s="1"/>
  <c r="N56" i="2" s="1"/>
  <c r="O56" i="2" s="1"/>
  <c r="P55" i="2" s="1"/>
  <c r="O53" i="2"/>
  <c r="N53" i="2"/>
  <c r="M53" i="2"/>
  <c r="L53" i="2"/>
  <c r="K53" i="2"/>
  <c r="J53" i="2"/>
  <c r="I53" i="2"/>
  <c r="H53" i="2"/>
  <c r="H74" i="2" s="1"/>
  <c r="G53" i="2"/>
  <c r="G74" i="2" s="1"/>
  <c r="F53" i="2"/>
  <c r="E53" i="2"/>
  <c r="D53" i="2"/>
  <c r="C53" i="2"/>
  <c r="C54" i="2" s="1"/>
  <c r="D54" i="2" s="1"/>
  <c r="E54" i="2" s="1"/>
  <c r="F54" i="2" s="1"/>
  <c r="G54" i="2" s="1"/>
  <c r="H54" i="2" s="1"/>
  <c r="I54" i="2" s="1"/>
  <c r="J54" i="2" s="1"/>
  <c r="K54" i="2" s="1"/>
  <c r="L54" i="2" s="1"/>
  <c r="M54" i="2" s="1"/>
  <c r="N54" i="2" s="1"/>
  <c r="O54" i="2" s="1"/>
  <c r="P53" i="2" s="1"/>
  <c r="M40" i="1"/>
  <c r="K40" i="1"/>
  <c r="G40" i="1"/>
  <c r="E40" i="1"/>
  <c r="C40" i="1"/>
  <c r="P33" i="1"/>
  <c r="O32" i="1"/>
  <c r="M32" i="1"/>
  <c r="K32" i="1"/>
  <c r="H32" i="1"/>
  <c r="G32" i="1"/>
  <c r="E32" i="1"/>
  <c r="D32" i="1"/>
  <c r="C32" i="1"/>
  <c r="P32" i="1"/>
  <c r="O31" i="1"/>
  <c r="M31" i="1"/>
  <c r="L31" i="1"/>
  <c r="H31" i="1"/>
  <c r="G31" i="1"/>
  <c r="E31" i="1"/>
  <c r="D31" i="1"/>
  <c r="C31" i="1"/>
  <c r="P31" i="1" s="1"/>
  <c r="O30" i="1"/>
  <c r="K30" i="1"/>
  <c r="H30" i="1"/>
  <c r="G30" i="1"/>
  <c r="E30" i="1"/>
  <c r="D30" i="1"/>
  <c r="P30" i="1"/>
  <c r="O29" i="1"/>
  <c r="M29" i="1"/>
  <c r="K29" i="1"/>
  <c r="G29" i="1"/>
  <c r="E29" i="1"/>
  <c r="D29" i="1"/>
  <c r="C29" i="1"/>
  <c r="B29" i="1"/>
  <c r="P29" i="1" s="1"/>
  <c r="O28" i="1"/>
  <c r="K28" i="1"/>
  <c r="H28" i="1"/>
  <c r="G28" i="1"/>
  <c r="E28" i="1"/>
  <c r="C28" i="1"/>
  <c r="P28" i="1"/>
  <c r="O27" i="1"/>
  <c r="M27" i="1"/>
  <c r="G27" i="1"/>
  <c r="D27" i="1"/>
  <c r="B27" i="1"/>
  <c r="P27" i="1" s="1"/>
  <c r="P26" i="1"/>
  <c r="M25" i="1"/>
  <c r="L25" i="1"/>
  <c r="K25" i="1"/>
  <c r="G25" i="1"/>
  <c r="F25" i="1"/>
  <c r="E25" i="1"/>
  <c r="D25" i="1"/>
  <c r="C25" i="1"/>
  <c r="P25" i="1"/>
  <c r="O24" i="1"/>
  <c r="G24" i="1"/>
  <c r="E24" i="1"/>
  <c r="D24" i="1"/>
  <c r="C24" i="1"/>
  <c r="M23" i="1"/>
  <c r="K23" i="1"/>
  <c r="D23" i="1"/>
  <c r="P23" i="1" s="1"/>
  <c r="O22" i="1"/>
  <c r="H22" i="1"/>
  <c r="E22" i="1"/>
  <c r="O21" i="1"/>
  <c r="M21" i="1"/>
  <c r="G21" i="1"/>
  <c r="E21" i="1"/>
  <c r="D21" i="1"/>
  <c r="C21" i="1"/>
  <c r="B21" i="1"/>
  <c r="P21" i="1" s="1"/>
  <c r="O20" i="1"/>
  <c r="M20" i="1"/>
  <c r="L20" i="1"/>
  <c r="K20" i="1"/>
  <c r="G20" i="1"/>
  <c r="E20" i="1"/>
  <c r="C20" i="1"/>
  <c r="B20" i="1"/>
  <c r="P20" i="1" s="1"/>
  <c r="P19" i="1"/>
  <c r="L18" i="1"/>
  <c r="K18" i="1"/>
  <c r="G18" i="1"/>
  <c r="E18" i="1"/>
  <c r="D18" i="1"/>
  <c r="P18" i="1" s="1"/>
  <c r="O17" i="1"/>
  <c r="M17" i="1"/>
  <c r="J17" i="1"/>
  <c r="G17" i="1"/>
  <c r="E17" i="1"/>
  <c r="C17" i="1"/>
  <c r="P17" i="1" s="1"/>
  <c r="M16" i="1"/>
  <c r="L16" i="1"/>
  <c r="K16" i="1"/>
  <c r="J16" i="1"/>
  <c r="G16" i="1"/>
  <c r="E16" i="1"/>
  <c r="D16" i="1"/>
  <c r="C16" i="1"/>
  <c r="P16" i="1"/>
  <c r="O15" i="1"/>
  <c r="N15" i="1"/>
  <c r="N34" i="1" s="1"/>
  <c r="M15" i="1"/>
  <c r="H15" i="1"/>
  <c r="E15" i="1"/>
  <c r="C15" i="1"/>
  <c r="P15" i="1"/>
  <c r="O14" i="1"/>
  <c r="M14" i="1"/>
  <c r="K14" i="1"/>
  <c r="E14" i="1"/>
  <c r="C14" i="1"/>
  <c r="P14" i="1"/>
  <c r="O13" i="1"/>
  <c r="M13" i="1"/>
  <c r="L13" i="1"/>
  <c r="K13" i="1"/>
  <c r="J13" i="1"/>
  <c r="F13" i="1"/>
  <c r="F34" i="1" s="1"/>
  <c r="E13" i="1"/>
  <c r="D13" i="1"/>
  <c r="C13" i="1"/>
  <c r="P12" i="1"/>
  <c r="O11" i="1"/>
  <c r="M11" i="1"/>
  <c r="K11" i="1"/>
  <c r="J11" i="1"/>
  <c r="G11" i="1"/>
  <c r="E11" i="1"/>
  <c r="D11" i="1"/>
  <c r="C11" i="1"/>
  <c r="B11" i="1"/>
  <c r="M10" i="1"/>
  <c r="L10" i="1"/>
  <c r="K10" i="1"/>
  <c r="H10" i="1"/>
  <c r="G10" i="1"/>
  <c r="E10" i="1"/>
  <c r="D10" i="1"/>
  <c r="C10" i="1"/>
  <c r="P10" i="1" s="1"/>
  <c r="O9" i="1"/>
  <c r="I9" i="1"/>
  <c r="I34" i="1"/>
  <c r="H9" i="1"/>
  <c r="G9" i="1"/>
  <c r="E9" i="1"/>
  <c r="D9" i="1"/>
  <c r="C9" i="1"/>
  <c r="B9" i="1"/>
  <c r="P9" i="1" s="1"/>
  <c r="O8" i="1"/>
  <c r="L8" i="1"/>
  <c r="K8" i="1"/>
  <c r="J8" i="1"/>
  <c r="H8" i="1"/>
  <c r="E8" i="1"/>
  <c r="D8" i="1"/>
  <c r="C8" i="1"/>
  <c r="P8" i="1"/>
  <c r="B8" i="1"/>
  <c r="O7" i="1"/>
  <c r="M7" i="1"/>
  <c r="L7" i="1"/>
  <c r="H7" i="1"/>
  <c r="E7" i="1"/>
  <c r="D7" i="1"/>
  <c r="P7" i="1"/>
  <c r="C7" i="1"/>
  <c r="O6" i="1"/>
  <c r="M6" i="1"/>
  <c r="L6" i="1"/>
  <c r="L34" i="1" s="1"/>
  <c r="K6" i="1"/>
  <c r="J6" i="1"/>
  <c r="J34" i="1"/>
  <c r="H6" i="1"/>
  <c r="H34" i="1"/>
  <c r="I35" i="1" s="1"/>
  <c r="C71" i="4" s="1"/>
  <c r="G6" i="1"/>
  <c r="E6" i="1"/>
  <c r="D6" i="1"/>
  <c r="C6" i="1"/>
  <c r="C34" i="1" s="1"/>
  <c r="B6" i="1"/>
  <c r="P5" i="1"/>
  <c r="O4" i="1"/>
  <c r="O34" i="1"/>
  <c r="M4" i="1"/>
  <c r="M34" i="1"/>
  <c r="K4" i="1"/>
  <c r="K34" i="1"/>
  <c r="G4" i="1"/>
  <c r="G34" i="1"/>
  <c r="E4" i="1"/>
  <c r="E34" i="1"/>
  <c r="D4" i="1"/>
  <c r="D34" i="1"/>
  <c r="E35" i="1" s="1"/>
  <c r="C69" i="4" s="1"/>
  <c r="P3" i="1"/>
  <c r="K43" i="10"/>
  <c r="K40" i="10"/>
  <c r="C43" i="10"/>
  <c r="R42" i="10" s="1"/>
  <c r="C40" i="10"/>
  <c r="M43" i="10"/>
  <c r="M40" i="10"/>
  <c r="B36" i="9"/>
  <c r="C37" i="9" s="1"/>
  <c r="D36" i="9"/>
  <c r="G36" i="9"/>
  <c r="G48" i="9" s="1"/>
  <c r="L36" i="9"/>
  <c r="O36" i="9"/>
  <c r="H36" i="9"/>
  <c r="J36" i="9"/>
  <c r="G49" i="9" s="1"/>
  <c r="L49" i="9" s="1"/>
  <c r="R8" i="9"/>
  <c r="R9" i="9"/>
  <c r="R11" i="9"/>
  <c r="R12" i="9"/>
  <c r="R13" i="9"/>
  <c r="R15" i="9"/>
  <c r="R16" i="9"/>
  <c r="R18" i="9"/>
  <c r="R20" i="9"/>
  <c r="R23" i="9"/>
  <c r="R25" i="9"/>
  <c r="R29" i="9"/>
  <c r="R30" i="9"/>
  <c r="R32" i="9"/>
  <c r="R34" i="9"/>
  <c r="B49" i="9"/>
  <c r="E37" i="9"/>
  <c r="E44" i="9" s="1"/>
  <c r="F69" i="4"/>
  <c r="M37" i="9"/>
  <c r="M44" i="9" s="1"/>
  <c r="K37" i="9"/>
  <c r="K44" i="9" s="1"/>
  <c r="G37" i="9"/>
  <c r="G44" i="9" s="1"/>
  <c r="E38" i="9"/>
  <c r="M38" i="9"/>
  <c r="R5" i="9"/>
  <c r="R37" i="9" s="1"/>
  <c r="O37" i="9"/>
  <c r="O44" i="9" s="1"/>
  <c r="L38" i="6"/>
  <c r="M38" i="6"/>
  <c r="M40" i="6"/>
  <c r="M43" i="6"/>
  <c r="I37" i="6"/>
  <c r="E71" i="4" s="1"/>
  <c r="I38" i="6"/>
  <c r="R37" i="6"/>
  <c r="E37" i="6"/>
  <c r="E69" i="4" s="1"/>
  <c r="C37" i="6"/>
  <c r="E68" i="4" s="1"/>
  <c r="B46" i="6"/>
  <c r="K43" i="6"/>
  <c r="K40" i="6"/>
  <c r="K39" i="6"/>
  <c r="P21" i="5"/>
  <c r="P22" i="5"/>
  <c r="P25" i="5"/>
  <c r="O34" i="5"/>
  <c r="P4" i="5"/>
  <c r="P35" i="5" s="1"/>
  <c r="H34" i="5"/>
  <c r="B45" i="5" s="1"/>
  <c r="L45" i="5" s="1"/>
  <c r="P6" i="5"/>
  <c r="P7" i="5"/>
  <c r="P8" i="5"/>
  <c r="P12" i="5"/>
  <c r="P17" i="5"/>
  <c r="P28" i="5"/>
  <c r="P31" i="5"/>
  <c r="O35" i="5"/>
  <c r="D75" i="4" s="1"/>
  <c r="G35" i="5"/>
  <c r="G45" i="5"/>
  <c r="E35" i="5"/>
  <c r="G44" i="5"/>
  <c r="M35" i="5"/>
  <c r="I35" i="5"/>
  <c r="K35" i="5"/>
  <c r="O36" i="5"/>
  <c r="C34" i="5"/>
  <c r="E81" i="4"/>
  <c r="E83" i="4" s="1"/>
  <c r="D36" i="1"/>
  <c r="G44" i="1"/>
  <c r="B44" i="1"/>
  <c r="H36" i="1"/>
  <c r="I36" i="1"/>
  <c r="G45" i="1"/>
  <c r="E36" i="1"/>
  <c r="E59" i="3"/>
  <c r="I59" i="3"/>
  <c r="D126" i="4"/>
  <c r="D122" i="4"/>
  <c r="F127" i="4"/>
  <c r="F123" i="4"/>
  <c r="H127" i="4"/>
  <c r="H123" i="4"/>
  <c r="J127" i="4"/>
  <c r="J123" i="4"/>
  <c r="L127" i="4"/>
  <c r="L123" i="4"/>
  <c r="N126" i="4"/>
  <c r="N122" i="4"/>
  <c r="P4" i="1"/>
  <c r="B34" i="1"/>
  <c r="P35" i="1" s="1"/>
  <c r="E94" i="4"/>
  <c r="E92" i="4"/>
  <c r="E90" i="4"/>
  <c r="E88" i="4"/>
  <c r="C126" i="4"/>
  <c r="C122" i="4"/>
  <c r="E127" i="4"/>
  <c r="E123" i="4"/>
  <c r="G127" i="4"/>
  <c r="G123" i="4"/>
  <c r="I126" i="4"/>
  <c r="I122" i="4"/>
  <c r="K126" i="4"/>
  <c r="K122" i="4"/>
  <c r="M127" i="4"/>
  <c r="M123" i="4"/>
  <c r="C58" i="2"/>
  <c r="E66" i="2"/>
  <c r="E67" i="2" s="1"/>
  <c r="G66" i="2"/>
  <c r="G67" i="2" s="1"/>
  <c r="I66" i="2"/>
  <c r="I67" i="2" s="1"/>
  <c r="M66" i="2"/>
  <c r="M67" i="2" s="1"/>
  <c r="O66" i="2"/>
  <c r="O67" i="2" s="1"/>
  <c r="M55" i="3"/>
  <c r="M59" i="3" s="1"/>
  <c r="E57" i="3"/>
  <c r="F57" i="3" s="1"/>
  <c r="G57" i="3" s="1"/>
  <c r="H57" i="3" s="1"/>
  <c r="I57" i="3" s="1"/>
  <c r="J57" i="3" s="1"/>
  <c r="L57" i="3" s="1"/>
  <c r="M57" i="3" s="1"/>
  <c r="N57" i="3" s="1"/>
  <c r="O57" i="3" s="1"/>
  <c r="H59" i="3"/>
  <c r="F59" i="2"/>
  <c r="J38" i="9"/>
  <c r="F72" i="4"/>
  <c r="F69" i="2"/>
  <c r="R40" i="9"/>
  <c r="G40" i="9"/>
  <c r="K40" i="9"/>
  <c r="K39" i="9"/>
  <c r="M40" i="9"/>
  <c r="M39" i="9"/>
  <c r="E40" i="9"/>
  <c r="E39" i="9"/>
  <c r="C39" i="9"/>
  <c r="F38" i="9"/>
  <c r="G38" i="9"/>
  <c r="O40" i="9"/>
  <c r="G50" i="9"/>
  <c r="N38" i="9"/>
  <c r="O38" i="9"/>
  <c r="L38" i="9"/>
  <c r="D38" i="9"/>
  <c r="R39" i="6"/>
  <c r="R40" i="6"/>
  <c r="M39" i="6"/>
  <c r="B38" i="6"/>
  <c r="C39" i="6"/>
  <c r="C40" i="6"/>
  <c r="C43" i="6"/>
  <c r="D38" i="6"/>
  <c r="E39" i="6"/>
  <c r="E40" i="6"/>
  <c r="E43" i="6"/>
  <c r="H38" i="6"/>
  <c r="I39" i="6"/>
  <c r="I40" i="6"/>
  <c r="I43" i="6"/>
  <c r="P37" i="5"/>
  <c r="D36" i="5"/>
  <c r="K38" i="5"/>
  <c r="I38" i="5"/>
  <c r="M38" i="5"/>
  <c r="E38" i="5"/>
  <c r="K36" i="5"/>
  <c r="B44" i="5"/>
  <c r="G46" i="5"/>
  <c r="H45" i="5" s="1"/>
  <c r="G38" i="5"/>
  <c r="O41" i="5"/>
  <c r="O38" i="5"/>
  <c r="O37" i="5"/>
  <c r="C35" i="5"/>
  <c r="C36" i="5"/>
  <c r="M36" i="5"/>
  <c r="B45" i="1"/>
  <c r="B36" i="1"/>
  <c r="C35" i="1"/>
  <c r="C68" i="4" s="1"/>
  <c r="P34" i="1"/>
  <c r="C59" i="2" s="1"/>
  <c r="B46" i="1"/>
  <c r="B48" i="1" s="1"/>
  <c r="L44" i="1"/>
  <c r="M44" i="1" s="1"/>
  <c r="G46" i="1"/>
  <c r="G48" i="1" s="1"/>
  <c r="H45" i="1"/>
  <c r="I41" i="1"/>
  <c r="I38" i="1"/>
  <c r="E41" i="1"/>
  <c r="E38" i="1"/>
  <c r="H49" i="9"/>
  <c r="F70" i="2"/>
  <c r="C38" i="5"/>
  <c r="B36" i="5"/>
  <c r="B46" i="5"/>
  <c r="C44" i="5" s="1"/>
  <c r="L44" i="5"/>
  <c r="P38" i="1"/>
  <c r="P37" i="1"/>
  <c r="I37" i="1"/>
  <c r="E37" i="1"/>
  <c r="C41" i="1"/>
  <c r="C38" i="1"/>
  <c r="C37" i="1"/>
  <c r="C36" i="1"/>
  <c r="L45" i="1"/>
  <c r="M45" i="1" s="1"/>
  <c r="H44" i="1"/>
  <c r="L46" i="5"/>
  <c r="M44" i="5"/>
  <c r="L46" i="1"/>
  <c r="M45" i="5"/>
  <c r="L48" i="1"/>
  <c r="L59" i="3" l="1"/>
  <c r="M58" i="3"/>
  <c r="O59" i="3"/>
  <c r="O58" i="3"/>
  <c r="N58" i="3"/>
  <c r="N59" i="3"/>
  <c r="J55" i="3"/>
  <c r="N66" i="2"/>
  <c r="N67" i="2" s="1"/>
  <c r="L66" i="2"/>
  <c r="L67" i="2" s="1"/>
  <c r="H66" i="2"/>
  <c r="H67" i="2" s="1"/>
  <c r="F74" i="2"/>
  <c r="F76" i="2"/>
  <c r="H78" i="2"/>
  <c r="D81" i="4"/>
  <c r="D83" i="4" s="1"/>
  <c r="D88" i="4"/>
  <c r="E89" i="4"/>
  <c r="E96" i="4" s="1"/>
  <c r="E91" i="4"/>
  <c r="E93" i="4"/>
  <c r="N114" i="4"/>
  <c r="N116" i="4" s="1"/>
  <c r="L121" i="4"/>
  <c r="J121" i="4"/>
  <c r="H121" i="4"/>
  <c r="F121" i="4"/>
  <c r="D114" i="4"/>
  <c r="D116" i="4" s="1"/>
  <c r="C124" i="4"/>
  <c r="I124" i="4"/>
  <c r="K124" i="4"/>
  <c r="E125" i="4"/>
  <c r="G125" i="4"/>
  <c r="M125" i="4"/>
  <c r="K149" i="4"/>
  <c r="D92" i="4"/>
  <c r="D94" i="4"/>
  <c r="K107" i="4"/>
  <c r="K95" i="4" s="1"/>
  <c r="D90" i="4"/>
  <c r="M121" i="4"/>
  <c r="K114" i="4"/>
  <c r="K116" i="4" s="1"/>
  <c r="I114" i="4"/>
  <c r="I116" i="4" s="1"/>
  <c r="G121" i="4"/>
  <c r="E121" i="4"/>
  <c r="C114" i="4"/>
  <c r="C116" i="4" s="1"/>
  <c r="F122" i="4"/>
  <c r="H122" i="4"/>
  <c r="J122" i="4"/>
  <c r="L122" i="4"/>
  <c r="D123" i="4"/>
  <c r="N123" i="4"/>
  <c r="F124" i="4"/>
  <c r="H124" i="4"/>
  <c r="J124" i="4"/>
  <c r="L124" i="4"/>
  <c r="D125" i="4"/>
  <c r="N125" i="4"/>
  <c r="F126" i="4"/>
  <c r="H126" i="4"/>
  <c r="J126" i="4"/>
  <c r="L126" i="4"/>
  <c r="K88" i="4"/>
  <c r="K93" i="4"/>
  <c r="K94" i="4"/>
  <c r="I151" i="4" s="1"/>
  <c r="K91" i="4"/>
  <c r="F151" i="4" s="1"/>
  <c r="K89" i="4"/>
  <c r="D93" i="4"/>
  <c r="K92" i="4"/>
  <c r="G151" i="4" s="1"/>
  <c r="D91" i="4"/>
  <c r="G107" i="4"/>
  <c r="G93" i="4" s="1"/>
  <c r="C107" i="4"/>
  <c r="C89" i="4" s="1"/>
  <c r="K90" i="4"/>
  <c r="E151" i="4" s="1"/>
  <c r="N121" i="4"/>
  <c r="D121" i="4"/>
  <c r="E122" i="4"/>
  <c r="G122" i="4"/>
  <c r="M122" i="4"/>
  <c r="C123" i="4"/>
  <c r="I123" i="4"/>
  <c r="K123" i="4"/>
  <c r="E124" i="4"/>
  <c r="G124" i="4"/>
  <c r="M124" i="4"/>
  <c r="C125" i="4"/>
  <c r="I125" i="4"/>
  <c r="K125" i="4"/>
  <c r="E126" i="4"/>
  <c r="G126" i="4"/>
  <c r="M126" i="4"/>
  <c r="C151" i="4"/>
  <c r="G94" i="4"/>
  <c r="G90" i="4"/>
  <c r="C93" i="4"/>
  <c r="C90" i="4"/>
  <c r="K121" i="4"/>
  <c r="I121" i="4"/>
  <c r="C121" i="4"/>
  <c r="D89" i="4"/>
  <c r="D95" i="4"/>
  <c r="K150" i="4"/>
  <c r="N107" i="4"/>
  <c r="N91" i="4" s="1"/>
  <c r="F154" i="4" s="1"/>
  <c r="I107" i="4"/>
  <c r="I95" i="4" s="1"/>
  <c r="J58" i="2"/>
  <c r="I61" i="2"/>
  <c r="N92" i="4"/>
  <c r="G154" i="4" s="1"/>
  <c r="N88" i="4"/>
  <c r="I89" i="4"/>
  <c r="I88" i="4"/>
  <c r="C60" i="2"/>
  <c r="C69" i="2"/>
  <c r="D50" i="4"/>
  <c r="D52" i="4" s="1"/>
  <c r="P41" i="5"/>
  <c r="D63" i="2" s="1"/>
  <c r="D56" i="3"/>
  <c r="D59" i="2"/>
  <c r="D69" i="2" s="1"/>
  <c r="D70" i="2" s="1"/>
  <c r="P38" i="5"/>
  <c r="C45" i="5"/>
  <c r="C45" i="1"/>
  <c r="C37" i="5"/>
  <c r="P57" i="3"/>
  <c r="Q57" i="3" s="1"/>
  <c r="C44" i="1"/>
  <c r="D68" i="4"/>
  <c r="C41" i="5"/>
  <c r="G37" i="5"/>
  <c r="H44" i="5"/>
  <c r="E37" i="5"/>
  <c r="M37" i="5"/>
  <c r="I37" i="5"/>
  <c r="K37" i="5"/>
  <c r="C56" i="3"/>
  <c r="F50" i="4"/>
  <c r="F52" i="4" s="1"/>
  <c r="M5" i="4" s="1"/>
  <c r="F56" i="3"/>
  <c r="G59" i="3" s="1"/>
  <c r="R39" i="9"/>
  <c r="G39" i="9"/>
  <c r="O39" i="9"/>
  <c r="H48" i="9"/>
  <c r="C44" i="9"/>
  <c r="C40" i="9"/>
  <c r="B38" i="9"/>
  <c r="F68" i="4"/>
  <c r="C38" i="9"/>
  <c r="D72" i="4"/>
  <c r="K41" i="5"/>
  <c r="D71" i="4"/>
  <c r="I41" i="5"/>
  <c r="D73" i="4"/>
  <c r="M41" i="5"/>
  <c r="D69" i="4"/>
  <c r="E41" i="5"/>
  <c r="D70" i="4"/>
  <c r="G41" i="5"/>
  <c r="K35" i="1"/>
  <c r="G35" i="1"/>
  <c r="L95" i="4"/>
  <c r="J152" i="4" s="1"/>
  <c r="L94" i="4"/>
  <c r="I152" i="4" s="1"/>
  <c r="L93" i="4"/>
  <c r="L88" i="4"/>
  <c r="M107" i="4"/>
  <c r="J107" i="4"/>
  <c r="H107" i="4"/>
  <c r="F107" i="4"/>
  <c r="I81" i="4"/>
  <c r="I83" i="4" s="1"/>
  <c r="K38" i="6"/>
  <c r="G46" i="6"/>
  <c r="B47" i="6"/>
  <c r="I36" i="5"/>
  <c r="J36" i="5"/>
  <c r="H36" i="5"/>
  <c r="L36" i="5"/>
  <c r="G36" i="5"/>
  <c r="E36" i="5"/>
  <c r="F36" i="5"/>
  <c r="N36" i="5"/>
  <c r="C38" i="6"/>
  <c r="E38" i="6"/>
  <c r="E50" i="4"/>
  <c r="E52" i="4" s="1"/>
  <c r="E59" i="2"/>
  <c r="F75" i="4"/>
  <c r="K38" i="9"/>
  <c r="F70" i="4"/>
  <c r="F73" i="4"/>
  <c r="P6" i="1"/>
  <c r="M35" i="1"/>
  <c r="P11" i="1"/>
  <c r="P13" i="1"/>
  <c r="O35" i="1"/>
  <c r="P22" i="1"/>
  <c r="P24" i="1"/>
  <c r="P40" i="1"/>
  <c r="P39" i="1"/>
  <c r="C62" i="2" s="1"/>
  <c r="G76" i="2"/>
  <c r="D55" i="3"/>
  <c r="D66" i="2"/>
  <c r="D67" i="2" s="1"/>
  <c r="F55" i="3"/>
  <c r="F78" i="2"/>
  <c r="L89" i="4"/>
  <c r="L91" i="4"/>
  <c r="F152" i="4" s="1"/>
  <c r="E72" i="4"/>
  <c r="J38" i="6"/>
  <c r="O37" i="6"/>
  <c r="O38" i="6"/>
  <c r="G37" i="6"/>
  <c r="F38" i="6"/>
  <c r="G47" i="6"/>
  <c r="G55" i="3"/>
  <c r="G78" i="2"/>
  <c r="P40" i="5"/>
  <c r="R41" i="6"/>
  <c r="R42" i="9"/>
  <c r="M45" i="9"/>
  <c r="G72" i="4"/>
  <c r="J38" i="10"/>
  <c r="C38" i="10"/>
  <c r="L38" i="10"/>
  <c r="M38" i="10"/>
  <c r="O38" i="10"/>
  <c r="G47" i="10"/>
  <c r="G38" i="10"/>
  <c r="O37" i="10"/>
  <c r="N38" i="10"/>
  <c r="C66" i="2"/>
  <c r="I36" i="9"/>
  <c r="G46" i="10"/>
  <c r="O37" i="11"/>
  <c r="G37" i="10"/>
  <c r="E37" i="10"/>
  <c r="B47" i="10"/>
  <c r="F36" i="11"/>
  <c r="R17" i="11"/>
  <c r="Q36" i="11"/>
  <c r="Q37" i="11" s="1"/>
  <c r="R31" i="11"/>
  <c r="E45" i="11"/>
  <c r="R42" i="11"/>
  <c r="H62" i="2" s="1"/>
  <c r="I36" i="10"/>
  <c r="R9" i="10"/>
  <c r="R34" i="10"/>
  <c r="C36" i="11"/>
  <c r="E36" i="11"/>
  <c r="E37" i="11" s="1"/>
  <c r="I36" i="11"/>
  <c r="K36" i="11"/>
  <c r="M36" i="11"/>
  <c r="R6" i="11"/>
  <c r="R37" i="11" s="1"/>
  <c r="B36" i="11"/>
  <c r="G36" i="11"/>
  <c r="R20" i="11"/>
  <c r="R21" i="11"/>
  <c r="R33" i="11"/>
  <c r="R45" i="11"/>
  <c r="J58" i="3" l="1"/>
  <c r="K58" i="3"/>
  <c r="J59" i="3"/>
  <c r="L58" i="3"/>
  <c r="I92" i="4"/>
  <c r="I93" i="4"/>
  <c r="J151" i="4"/>
  <c r="K96" i="4"/>
  <c r="I90" i="4"/>
  <c r="I94" i="4"/>
  <c r="I91" i="4"/>
  <c r="C94" i="4"/>
  <c r="C81" i="4"/>
  <c r="C83" i="4" s="1"/>
  <c r="G91" i="4"/>
  <c r="G95" i="4"/>
  <c r="J147" i="4" s="1"/>
  <c r="N94" i="4"/>
  <c r="I154" i="4" s="1"/>
  <c r="N90" i="4"/>
  <c r="E154" i="4" s="1"/>
  <c r="D96" i="4"/>
  <c r="C88" i="4"/>
  <c r="C92" i="4"/>
  <c r="C91" i="4"/>
  <c r="C95" i="4"/>
  <c r="G88" i="4"/>
  <c r="C147" i="4" s="1"/>
  <c r="K147" i="4" s="1"/>
  <c r="G92" i="4"/>
  <c r="G89" i="4"/>
  <c r="K151" i="4"/>
  <c r="G96" i="4"/>
  <c r="N93" i="4"/>
  <c r="N95" i="4"/>
  <c r="J154" i="4" s="1"/>
  <c r="N89" i="4"/>
  <c r="M3" i="4"/>
  <c r="R43" i="11"/>
  <c r="H63" i="2" s="1"/>
  <c r="N3" i="2" s="1"/>
  <c r="H59" i="2"/>
  <c r="M3" i="3"/>
  <c r="R39" i="11"/>
  <c r="R40" i="11"/>
  <c r="E43" i="11"/>
  <c r="E39" i="11"/>
  <c r="E40" i="11"/>
  <c r="D38" i="11"/>
  <c r="G49" i="11"/>
  <c r="I37" i="10"/>
  <c r="I38" i="10" s="1"/>
  <c r="B46" i="10"/>
  <c r="G37" i="11"/>
  <c r="G50" i="11"/>
  <c r="F38" i="11"/>
  <c r="G69" i="4"/>
  <c r="E38" i="10"/>
  <c r="E40" i="10"/>
  <c r="E43" i="10"/>
  <c r="O38" i="11"/>
  <c r="O39" i="11"/>
  <c r="O40" i="11"/>
  <c r="B48" i="9"/>
  <c r="I37" i="9"/>
  <c r="I38" i="9" s="1"/>
  <c r="N38" i="11"/>
  <c r="D38" i="10"/>
  <c r="R45" i="9"/>
  <c r="F62" i="2"/>
  <c r="G58" i="3"/>
  <c r="N4" i="3" s="1"/>
  <c r="P55" i="3"/>
  <c r="Q55" i="3" s="1"/>
  <c r="H63" i="3"/>
  <c r="H64" i="3" s="1"/>
  <c r="H58" i="3"/>
  <c r="F58" i="3"/>
  <c r="N5" i="3" s="1"/>
  <c r="F59" i="3"/>
  <c r="D58" i="3"/>
  <c r="E58" i="3"/>
  <c r="D59" i="3"/>
  <c r="P62" i="2"/>
  <c r="C75" i="4"/>
  <c r="O36" i="1"/>
  <c r="N36" i="1"/>
  <c r="O41" i="1"/>
  <c r="O38" i="1"/>
  <c r="O37" i="1"/>
  <c r="E69" i="2"/>
  <c r="E70" i="2" s="1"/>
  <c r="E56" i="3"/>
  <c r="L47" i="6"/>
  <c r="B48" i="6"/>
  <c r="C46" i="6" s="1"/>
  <c r="F95" i="4"/>
  <c r="F93" i="4"/>
  <c r="F91" i="4"/>
  <c r="F89" i="4"/>
  <c r="F94" i="4"/>
  <c r="F92" i="4"/>
  <c r="F90" i="4"/>
  <c r="F88" i="4"/>
  <c r="J95" i="4"/>
  <c r="J93" i="4"/>
  <c r="J91" i="4"/>
  <c r="J89" i="4"/>
  <c r="J94" i="4"/>
  <c r="J92" i="4"/>
  <c r="J90" i="4"/>
  <c r="J88" i="4"/>
  <c r="C152" i="4"/>
  <c r="K152" i="4" s="1"/>
  <c r="L96" i="4"/>
  <c r="C72" i="4"/>
  <c r="J36" i="1"/>
  <c r="K36" i="1"/>
  <c r="K41" i="1"/>
  <c r="K37" i="1"/>
  <c r="K38" i="1"/>
  <c r="P41" i="1"/>
  <c r="C70" i="2"/>
  <c r="C61" i="2"/>
  <c r="D60" i="2"/>
  <c r="E38" i="11"/>
  <c r="B50" i="11"/>
  <c r="C37" i="11"/>
  <c r="B38" i="11" s="1"/>
  <c r="M38" i="11"/>
  <c r="M37" i="11"/>
  <c r="I37" i="11"/>
  <c r="I38" i="11" s="1"/>
  <c r="C38" i="11"/>
  <c r="B49" i="11"/>
  <c r="R37" i="10"/>
  <c r="L47" i="10"/>
  <c r="G70" i="4"/>
  <c r="G40" i="10"/>
  <c r="G43" i="10"/>
  <c r="G39" i="10"/>
  <c r="K37" i="11"/>
  <c r="H46" i="10"/>
  <c r="G48" i="10"/>
  <c r="H47" i="10" s="1"/>
  <c r="C67" i="2"/>
  <c r="P66" i="2"/>
  <c r="P67" i="2" s="1"/>
  <c r="G74" i="4"/>
  <c r="O43" i="10"/>
  <c r="O39" i="10"/>
  <c r="O40" i="10"/>
  <c r="F38" i="10"/>
  <c r="H47" i="6"/>
  <c r="E70" i="4"/>
  <c r="G38" i="6"/>
  <c r="G43" i="6"/>
  <c r="R42" i="6" s="1"/>
  <c r="E63" i="2" s="1"/>
  <c r="G40" i="6"/>
  <c r="G39" i="6"/>
  <c r="E75" i="4"/>
  <c r="N38" i="6"/>
  <c r="O43" i="6"/>
  <c r="O39" i="6"/>
  <c r="O40" i="6"/>
  <c r="C73" i="4"/>
  <c r="M36" i="1"/>
  <c r="L36" i="1"/>
  <c r="M41" i="1"/>
  <c r="M37" i="1"/>
  <c r="M38" i="1"/>
  <c r="G48" i="6"/>
  <c r="L46" i="6"/>
  <c r="H46" i="6"/>
  <c r="H95" i="4"/>
  <c r="J148" i="4" s="1"/>
  <c r="H94" i="4"/>
  <c r="I148" i="4" s="1"/>
  <c r="H93" i="4"/>
  <c r="H92" i="4"/>
  <c r="G148" i="4" s="1"/>
  <c r="H91" i="4"/>
  <c r="F148" i="4" s="1"/>
  <c r="H90" i="4"/>
  <c r="E148" i="4" s="1"/>
  <c r="H89" i="4"/>
  <c r="D148" i="4" s="1"/>
  <c r="D155" i="4" s="1"/>
  <c r="H88" i="4"/>
  <c r="M95" i="4"/>
  <c r="J153" i="4" s="1"/>
  <c r="M94" i="4"/>
  <c r="I153" i="4" s="1"/>
  <c r="M93" i="4"/>
  <c r="M88" i="4"/>
  <c r="M92" i="4"/>
  <c r="G153" i="4" s="1"/>
  <c r="M91" i="4"/>
  <c r="F153" i="4" s="1"/>
  <c r="M90" i="4"/>
  <c r="E153" i="4" s="1"/>
  <c r="M89" i="4"/>
  <c r="C70" i="4"/>
  <c r="G38" i="1"/>
  <c r="F36" i="1"/>
  <c r="G41" i="1"/>
  <c r="G36" i="1"/>
  <c r="G37" i="1"/>
  <c r="R44" i="9"/>
  <c r="F63" i="2" s="1"/>
  <c r="N5" i="2" s="1"/>
  <c r="C58" i="3"/>
  <c r="D76" i="4"/>
  <c r="D57" i="4" s="1"/>
  <c r="C63" i="2"/>
  <c r="C154" i="4"/>
  <c r="N96" i="4"/>
  <c r="K58" i="2"/>
  <c r="J61" i="2"/>
  <c r="I96" i="4" l="1"/>
  <c r="C96" i="4"/>
  <c r="K154" i="4"/>
  <c r="J96" i="4"/>
  <c r="F96" i="4"/>
  <c r="J155" i="4"/>
  <c r="C153" i="4"/>
  <c r="K153" i="4" s="1"/>
  <c r="M96" i="4"/>
  <c r="L58" i="2"/>
  <c r="K61" i="2"/>
  <c r="D63" i="4"/>
  <c r="D64" i="4"/>
  <c r="C76" i="4"/>
  <c r="C59" i="4" s="1"/>
  <c r="C148" i="4"/>
  <c r="H96" i="4"/>
  <c r="E155" i="4"/>
  <c r="G155" i="4"/>
  <c r="I155" i="4"/>
  <c r="E76" i="4"/>
  <c r="E64" i="4" s="1"/>
  <c r="K43" i="11"/>
  <c r="K39" i="11"/>
  <c r="K40" i="11"/>
  <c r="J38" i="11"/>
  <c r="B51" i="11"/>
  <c r="L49" i="11"/>
  <c r="C49" i="11"/>
  <c r="M40" i="11"/>
  <c r="M43" i="11"/>
  <c r="M39" i="11"/>
  <c r="L38" i="11"/>
  <c r="C50" i="11"/>
  <c r="L50" i="11"/>
  <c r="E60" i="2"/>
  <c r="D61" i="2"/>
  <c r="D60" i="4"/>
  <c r="D58" i="4"/>
  <c r="C47" i="6"/>
  <c r="C46" i="10"/>
  <c r="B48" i="10"/>
  <c r="C47" i="10" s="1"/>
  <c r="L46" i="10"/>
  <c r="G51" i="11"/>
  <c r="H50" i="11" s="1"/>
  <c r="F155" i="4"/>
  <c r="L48" i="6"/>
  <c r="M46" i="6"/>
  <c r="C62" i="4"/>
  <c r="G59" i="2"/>
  <c r="G56" i="3"/>
  <c r="K39" i="10"/>
  <c r="R39" i="10"/>
  <c r="C39" i="10"/>
  <c r="R40" i="10"/>
  <c r="M39" i="10"/>
  <c r="I40" i="11"/>
  <c r="I43" i="11"/>
  <c r="I39" i="11"/>
  <c r="H38" i="11"/>
  <c r="C40" i="11"/>
  <c r="C43" i="11"/>
  <c r="C39" i="11"/>
  <c r="D61" i="4"/>
  <c r="D62" i="4"/>
  <c r="D59" i="4"/>
  <c r="M47" i="6"/>
  <c r="I44" i="9"/>
  <c r="F71" i="4"/>
  <c r="I40" i="9"/>
  <c r="I39" i="9"/>
  <c r="H38" i="9"/>
  <c r="C48" i="9"/>
  <c r="B50" i="9"/>
  <c r="C49" i="9" s="1"/>
  <c r="L48" i="9"/>
  <c r="E39" i="10"/>
  <c r="G43" i="11"/>
  <c r="G39" i="11"/>
  <c r="G40" i="11"/>
  <c r="G71" i="4"/>
  <c r="G76" i="4" s="1"/>
  <c r="I43" i="10"/>
  <c r="I39" i="10"/>
  <c r="I40" i="10"/>
  <c r="H38" i="10"/>
  <c r="K38" i="11"/>
  <c r="G38" i="11"/>
  <c r="M3" i="2"/>
  <c r="H69" i="2"/>
  <c r="H70" i="2" s="1"/>
  <c r="C64" i="4" l="1"/>
  <c r="C61" i="4"/>
  <c r="D65" i="4"/>
  <c r="G62" i="4"/>
  <c r="G57" i="4"/>
  <c r="G64" i="4"/>
  <c r="G61" i="4"/>
  <c r="G58" i="4"/>
  <c r="G63" i="4"/>
  <c r="G59" i="4"/>
  <c r="M48" i="9"/>
  <c r="L50" i="9"/>
  <c r="M49" i="9" s="1"/>
  <c r="G50" i="4"/>
  <c r="G52" i="4" s="1"/>
  <c r="M4" i="4" s="1"/>
  <c r="M4" i="2"/>
  <c r="G69" i="2"/>
  <c r="L48" i="10"/>
  <c r="M47" i="10" s="1"/>
  <c r="F60" i="2"/>
  <c r="E61" i="2"/>
  <c r="E57" i="4"/>
  <c r="E58" i="4"/>
  <c r="E63" i="4"/>
  <c r="E62" i="4"/>
  <c r="E60" i="4"/>
  <c r="E61" i="4"/>
  <c r="K148" i="4"/>
  <c r="C155" i="4"/>
  <c r="K155" i="4" s="1"/>
  <c r="M58" i="2"/>
  <c r="L61" i="2"/>
  <c r="F76" i="4"/>
  <c r="G60" i="4"/>
  <c r="M4" i="3"/>
  <c r="N3" i="3" s="1"/>
  <c r="P56" i="3"/>
  <c r="H49" i="11"/>
  <c r="L51" i="11"/>
  <c r="M50" i="11" s="1"/>
  <c r="M49" i="11"/>
  <c r="E59" i="4"/>
  <c r="C63" i="4"/>
  <c r="C58" i="4"/>
  <c r="C50" i="4"/>
  <c r="C52" i="4" s="1"/>
  <c r="C60" i="4"/>
  <c r="C57" i="4"/>
  <c r="F58" i="4" l="1"/>
  <c r="F63" i="4"/>
  <c r="F61" i="4"/>
  <c r="O61" i="4" s="1"/>
  <c r="F59" i="4"/>
  <c r="O59" i="4" s="1"/>
  <c r="F57" i="4"/>
  <c r="F62" i="4"/>
  <c r="O62" i="4" s="1"/>
  <c r="F64" i="4"/>
  <c r="E65" i="4"/>
  <c r="G60" i="2"/>
  <c r="F61" i="2"/>
  <c r="C65" i="4"/>
  <c r="O57" i="4"/>
  <c r="F60" i="4"/>
  <c r="O60" i="4" s="1"/>
  <c r="N58" i="2"/>
  <c r="M61" i="2"/>
  <c r="M46" i="10"/>
  <c r="G70" i="2"/>
  <c r="P70" i="2" s="1"/>
  <c r="P69" i="2"/>
  <c r="N4" i="4"/>
  <c r="N3" i="4"/>
  <c r="O63" i="4" l="1"/>
  <c r="O58" i="4"/>
  <c r="H60" i="2"/>
  <c r="G61" i="2"/>
  <c r="O64" i="4"/>
  <c r="F65" i="4"/>
  <c r="O58" i="2"/>
  <c r="N61" i="2"/>
  <c r="P57" i="2" l="1"/>
  <c r="O61" i="2"/>
  <c r="I60" i="2"/>
  <c r="J60" i="2" s="1"/>
  <c r="K60" i="2" s="1"/>
  <c r="L60" i="2" s="1"/>
  <c r="M60" i="2" s="1"/>
  <c r="N60" i="2" s="1"/>
  <c r="O60" i="2" s="1"/>
  <c r="P59" i="2" s="1"/>
  <c r="H61" i="2"/>
  <c r="P63" i="2" l="1"/>
  <c r="P6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exe</author>
  </authors>
  <commentList>
    <comment ref="F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exe: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exe</author>
  </authors>
  <commentList>
    <comment ref="F1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exe: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exe</author>
  </authors>
  <commentList>
    <comment ref="F2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exe: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exe</author>
  </authors>
  <commentList>
    <comment ref="F2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exe: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exe</author>
  </authors>
  <commentList>
    <comment ref="F2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exe: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exe</author>
  </authors>
  <commentList>
    <comment ref="F20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exe: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 xml:space="preserve">VER CUPON MAL COBRADO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federico.rocha</author>
  </authors>
  <commentList>
    <comment ref="F57" authorId="0" shapeId="0" xr:uid="{00000000-0006-0000-0600-000001000000}">
      <text>
        <r>
          <rPr>
            <sz val="12"/>
            <color indexed="81"/>
            <rFont val="Tahoma"/>
            <family val="2"/>
          </rPr>
          <t>SE SUMA CALLE 12 QUE HIZO AL DIFERENCIA</t>
        </r>
      </text>
    </comment>
    <comment ref="F59" authorId="0" shapeId="0" xr:uid="{00000000-0006-0000-0600-000002000000}">
      <text>
        <r>
          <rPr>
            <sz val="12"/>
            <color indexed="81"/>
            <rFont val="Tahoma"/>
            <family val="2"/>
          </rPr>
          <t>SE SUMA CALLE 12 QUE HIZO AL DIFERENCIA</t>
        </r>
      </text>
    </comment>
    <comment ref="J63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LIQUIDACION INVIERNO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federico.rocha</author>
  </authors>
  <commentList>
    <comment ref="F57" authorId="0" shapeId="0" xr:uid="{00000000-0006-0000-0700-000001000000}">
      <text>
        <r>
          <rPr>
            <sz val="12"/>
            <color indexed="81"/>
            <rFont val="Tahoma"/>
            <family val="2"/>
          </rPr>
          <t>SE SUMA CALLE 12 QUE HIZO AL DIFERENCIA</t>
        </r>
      </text>
    </comment>
  </commentList>
</comments>
</file>

<file path=xl/sharedStrings.xml><?xml version="1.0" encoding="utf-8"?>
<sst xmlns="http://schemas.openxmlformats.org/spreadsheetml/2006/main" count="560" uniqueCount="162">
  <si>
    <t>DIA</t>
  </si>
  <si>
    <t>calle</t>
  </si>
  <si>
    <t>city bell</t>
  </si>
  <si>
    <t>checa</t>
  </si>
  <si>
    <t>peuque</t>
  </si>
  <si>
    <t>TOTALES</t>
  </si>
  <si>
    <t>tarj + cc</t>
  </si>
  <si>
    <t>efect</t>
  </si>
  <si>
    <t>TOTAL</t>
  </si>
  <si>
    <t>Vta Calle</t>
  </si>
  <si>
    <t>Vta 48</t>
  </si>
  <si>
    <t>Vta City</t>
  </si>
  <si>
    <t>Vta Checa</t>
  </si>
  <si>
    <t>Vta 12</t>
  </si>
  <si>
    <t>Vta 49</t>
  </si>
  <si>
    <t>Vta Peuque</t>
  </si>
  <si>
    <t>% de representatividad</t>
  </si>
  <si>
    <t>% de venta por sucursal</t>
  </si>
  <si>
    <t>Venta promedio diaria</t>
  </si>
  <si>
    <t>cant, de art</t>
  </si>
  <si>
    <t>tk promedio</t>
  </si>
  <si>
    <t>ventas wente</t>
  </si>
  <si>
    <t>porcentaje</t>
  </si>
  <si>
    <t>ventas Czech</t>
  </si>
  <si>
    <t>venta total</t>
  </si>
  <si>
    <t>total en efec</t>
  </si>
  <si>
    <t>total efec</t>
  </si>
  <si>
    <t>total en tarj</t>
  </si>
  <si>
    <t>total tarj</t>
  </si>
  <si>
    <t>total tarjeta</t>
  </si>
  <si>
    <t>PERÍODO</t>
  </si>
  <si>
    <t>VALOR</t>
  </si>
  <si>
    <t>ticket</t>
  </si>
  <si>
    <t>PROPIETARIO</t>
  </si>
  <si>
    <t>PROVEEDOR DE LA INFO.</t>
  </si>
  <si>
    <t>En Informe de Gestion Mensual</t>
  </si>
  <si>
    <t>Fuente: QV</t>
  </si>
  <si>
    <t>2 SEMANA</t>
  </si>
  <si>
    <t xml:space="preserve">Datos: </t>
  </si>
  <si>
    <t>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</si>
  <si>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</si>
  <si>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</si>
  <si>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</si>
  <si>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</si>
  <si>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</si>
  <si>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</si>
  <si>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</si>
  <si>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</si>
  <si>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</si>
  <si>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set</t>
  </si>
  <si>
    <t>oct</t>
  </si>
  <si>
    <t>nov</t>
  </si>
  <si>
    <t>dic</t>
  </si>
  <si>
    <t>VENTA ANUAL</t>
  </si>
  <si>
    <t>ANALISIS DE VENTA ANUAL</t>
  </si>
  <si>
    <t xml:space="preserve">% </t>
  </si>
  <si>
    <t>VS MES ANTERIOR</t>
  </si>
  <si>
    <t>3 SEMANA</t>
  </si>
  <si>
    <t>SET</t>
  </si>
  <si>
    <t>Oct</t>
  </si>
  <si>
    <t>Nov</t>
  </si>
  <si>
    <t>Dic</t>
  </si>
  <si>
    <t>TOTAL ANUAL</t>
  </si>
  <si>
    <t>2015 VS 2014</t>
  </si>
  <si>
    <t>vs mes anterior</t>
  </si>
  <si>
    <t>OBJETIVO</t>
  </si>
  <si>
    <t>CUMPLIR CON LOS OBJETIVOS DIARIOS Y SEMANALES</t>
  </si>
  <si>
    <t>Enero</t>
  </si>
  <si>
    <t>Diciembre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</si>
  <si>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</si>
  <si>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</si>
  <si>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</si>
  <si>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</si>
  <si>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</si>
  <si>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</si>
  <si>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</si>
  <si>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</si>
  <si>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</si>
  <si>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</si>
  <si>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Venta Mensual</t>
  </si>
  <si>
    <t>Cantidad de dias de venta</t>
  </si>
  <si>
    <t>Venta x Dia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</si>
  <si>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</si>
  <si>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</si>
  <si>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</si>
  <si>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</si>
  <si>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</si>
  <si>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</si>
  <si>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</si>
  <si>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</si>
  <si>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</si>
  <si>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</si>
  <si>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</si>
  <si>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</si>
  <si>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</si>
  <si>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Expedientes Gral.</t>
  </si>
  <si>
    <t xml:space="preserve">       </t>
  </si>
  <si>
    <t>REPRESENTACION DE CADA LOCAL EN LA VENTA ANUAL -en %-</t>
  </si>
  <si>
    <t>promedio</t>
  </si>
  <si>
    <t>prom</t>
  </si>
  <si>
    <t>total</t>
  </si>
  <si>
    <t xml:space="preserve"> </t>
  </si>
  <si>
    <t>Vta LH</t>
  </si>
  <si>
    <t>LH</t>
  </si>
  <si>
    <t>CONTROL DIARIO DE RETIRO DE CAJAS marzo 2016</t>
  </si>
  <si>
    <t>cant, de tickets</t>
  </si>
  <si>
    <t>MAYO / ABRIL</t>
  </si>
  <si>
    <t xml:space="preserve">  </t>
  </si>
  <si>
    <t>Ticket promedio</t>
  </si>
  <si>
    <t>$ ticket prom</t>
  </si>
  <si>
    <t>Q. deTicket</t>
  </si>
  <si>
    <t>Q. de Art</t>
  </si>
  <si>
    <t>Art x Ticket</t>
  </si>
  <si>
    <t>Q. Tickets</t>
  </si>
  <si>
    <t>Q. Unidades</t>
  </si>
  <si>
    <t>Prendas x tickets</t>
  </si>
  <si>
    <t>% W &amp; B</t>
  </si>
  <si>
    <t>Q. de Tickets</t>
  </si>
  <si>
    <t>Promedio Prenda Vendida</t>
  </si>
  <si>
    <t>Cant de Prendas</t>
  </si>
  <si>
    <t>Ticket Promedio</t>
  </si>
  <si>
    <t>Q. de Articulos</t>
  </si>
  <si>
    <t>Articulos vs Tickets</t>
  </si>
  <si>
    <t>"x"</t>
  </si>
  <si>
    <t>VALOR 2021</t>
  </si>
  <si>
    <t>VALOR  2020</t>
  </si>
  <si>
    <t>VALOR  2019</t>
  </si>
  <si>
    <t>VALOR  2018</t>
  </si>
  <si>
    <t>PROYECCION 2021</t>
  </si>
  <si>
    <t>2021 vs. Mes anterior</t>
  </si>
  <si>
    <t>proyeccion 25% + venta 2020</t>
  </si>
  <si>
    <t>VALOR  2021</t>
  </si>
  <si>
    <t>VALOR  2021 Acum</t>
  </si>
  <si>
    <t>VALOR  2020 Acum</t>
  </si>
  <si>
    <t>VALOR  2019 Acum</t>
  </si>
  <si>
    <t>VALOR  2018 Acum</t>
  </si>
  <si>
    <t>Acumulado 2021 vs acum. 2020</t>
  </si>
  <si>
    <t>2020 vs 2019</t>
  </si>
  <si>
    <t>2021 vs 2020</t>
  </si>
  <si>
    <t>ABRIL / MARZO</t>
  </si>
  <si>
    <t>JUNIO/MAYO</t>
  </si>
  <si>
    <t>CANTIDAD DE TICKETS 2021</t>
  </si>
  <si>
    <t>CANTIDAD DE TICKETS 2020</t>
  </si>
  <si>
    <t>LOCAL 1</t>
  </si>
  <si>
    <t>LOCAL 2</t>
  </si>
  <si>
    <t>LOCAL 3</t>
  </si>
  <si>
    <t>LOCAL 4</t>
  </si>
  <si>
    <t>LOCAL 5</t>
  </si>
  <si>
    <t>LOCAL 6</t>
  </si>
  <si>
    <t>LOCAL 7</t>
  </si>
  <si>
    <t>LOCAL 8</t>
  </si>
  <si>
    <t>AÑO 2021</t>
  </si>
  <si>
    <t>REPRESENTACION CADA LOCAL VENTA MESNUAL DEL AÑO 2021</t>
  </si>
  <si>
    <t>AÑO 2020</t>
  </si>
  <si>
    <t>ANALISIS 2019</t>
  </si>
  <si>
    <t>LOGO DE LA EMPRESA</t>
  </si>
  <si>
    <t>AÑO 2019</t>
  </si>
  <si>
    <t xml:space="preserve">TABLERO DE CONTROL </t>
  </si>
  <si>
    <t>TABLERO DE CONTROL</t>
  </si>
  <si>
    <t>CONTROL DIARIO DE RETIRO DE CAJAS junio 2021</t>
  </si>
  <si>
    <t>CONTROL DIARIO DE RETIRO DE CAJAS Mayo 2021</t>
  </si>
  <si>
    <t>CONTROL DIARIO DE RETIRO DE CAJAS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</si>
</sst>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&quot;€&quot;_-;\-* #,##0.00\ &quot;€&quot;_-;_-* &quot;-&quot;??\ &quot;€&quot;_-;_-@_-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&quot;$&quot;\ #,##0.00"/>
    <numFmt numFmtId="168" formatCode="_ [$$-2C0A]\ * #,##0.00_ ;_ [$$-2C0A]\ * \-#,##0.00_ ;_ [$$-2C0A]\ * &quot;-&quot;??_ ;_ @_ "/>
    <numFmt numFmtId="169" formatCode="[$$-2C0A]\ #,##0.00"/>
    <numFmt numFmtId="170" formatCode="[$$-2C0A]\ #,##0"/>
    <numFmt numFmtId="171" formatCode="&quot;$&quot;\ #,##0"/>
    <numFmt numFmtId="172" formatCode="0.0"/>
    <numFmt numFmtId="173" formatCode="_ [$$-2C0A]\ * #,##0_ ;_ [$$-2C0A]\ * \-#,##0_ ;_ [$$-2C0A]\ * &quot;-&quot;??_ ;_ @_ "/>
    <numFmt numFmtId="174" formatCode="0.0%"/>
    <numFmt numFmtId="175" formatCode="_ [$€-2]\ * #,##0.00_ ;_ [$€-2]\ * \-#,##0.00_ ;_ [$€-2]\ * &quot;-&quot;??_ "/>
  </numFmts>
  <fonts count="57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 Black"/>
      <family val="2"/>
    </font>
    <font>
      <i/>
      <sz val="10"/>
      <name val="Arial Black"/>
      <family val="2"/>
    </font>
    <font>
      <b/>
      <sz val="28"/>
      <color indexed="9"/>
      <name val="Arial"/>
      <family val="2"/>
    </font>
    <font>
      <b/>
      <sz val="14"/>
      <color indexed="9"/>
      <name val="Arial"/>
      <family val="2"/>
    </font>
    <font>
      <b/>
      <sz val="28"/>
      <color indexed="9"/>
      <name val="Arial"/>
      <family val="2"/>
    </font>
    <font>
      <sz val="14"/>
      <color indexed="8"/>
      <name val="Arial Black"/>
      <family val="2"/>
    </font>
    <font>
      <sz val="14"/>
      <name val="Arial Black"/>
      <family val="2"/>
    </font>
    <font>
      <sz val="10"/>
      <color indexed="9"/>
      <name val="Arial Black"/>
      <family val="2"/>
    </font>
    <font>
      <i/>
      <sz val="10"/>
      <color indexed="9"/>
      <name val="Arial Black"/>
      <family val="2"/>
    </font>
    <font>
      <b/>
      <sz val="10"/>
      <color indexed="9"/>
      <name val="Arial Black"/>
      <family val="2"/>
    </font>
    <font>
      <sz val="12"/>
      <name val="Arial"/>
      <family val="2"/>
    </font>
    <font>
      <b/>
      <sz val="10"/>
      <name val="Arial Black"/>
      <family val="2"/>
    </font>
    <font>
      <b/>
      <sz val="11"/>
      <name val="Arial Black"/>
      <family val="2"/>
    </font>
    <font>
      <sz val="14"/>
      <name val="Arial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sz val="10"/>
      <color indexed="8"/>
      <name val="Arial Black"/>
      <family val="2"/>
    </font>
    <font>
      <sz val="12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 Black"/>
      <family val="2"/>
    </font>
    <font>
      <b/>
      <sz val="12"/>
      <color indexed="9"/>
      <name val="Arial Black"/>
      <family val="2"/>
    </font>
    <font>
      <b/>
      <sz val="10"/>
      <color indexed="9"/>
      <name val="Arial Black"/>
      <family val="2"/>
    </font>
    <font>
      <sz val="12"/>
      <name val="Arial Black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10"/>
      <color indexed="9"/>
      <name val="Arial Black"/>
      <family val="2"/>
    </font>
    <font>
      <b/>
      <i/>
      <sz val="16"/>
      <color indexed="9"/>
      <name val="Arial"/>
      <family val="2"/>
    </font>
    <font>
      <b/>
      <i/>
      <sz val="16"/>
      <name val="Arial"/>
      <family val="2"/>
    </font>
    <font>
      <sz val="8"/>
      <name val="Arial Black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20"/>
      <color indexed="9"/>
      <name val="Arial"/>
      <family val="2"/>
    </font>
    <font>
      <sz val="16"/>
      <name val="Arial Black"/>
      <family val="2"/>
    </font>
    <font>
      <sz val="11"/>
      <color indexed="8"/>
      <name val="Calibri"/>
      <family val="2"/>
    </font>
    <font>
      <b/>
      <sz val="16"/>
      <color indexed="17"/>
      <name val="Arial Black"/>
      <family val="2"/>
    </font>
    <font>
      <b/>
      <sz val="14"/>
      <color indexed="8"/>
      <name val="Arial Black"/>
      <family val="2"/>
    </font>
    <font>
      <sz val="10"/>
      <name val="Arial"/>
      <family val="2"/>
    </font>
    <font>
      <sz val="16"/>
      <color indexed="9"/>
      <name val="Arial Black"/>
      <family val="2"/>
    </font>
    <font>
      <b/>
      <sz val="8"/>
      <color indexed="9"/>
      <name val="Arial"/>
      <family val="2"/>
    </font>
    <font>
      <sz val="10"/>
      <name val="Arial"/>
    </font>
    <font>
      <b/>
      <sz val="14"/>
      <color indexed="1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4">
    <xf numFmtId="0" fontId="0" fillId="0" borderId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53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5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4" fontId="2" fillId="5" borderId="5" xfId="0" applyNumberFormat="1" applyFont="1" applyFill="1" applyBorder="1" applyAlignment="1">
      <alignment horizontal="center"/>
    </xf>
    <xf numFmtId="0" fontId="2" fillId="5" borderId="6" xfId="0" applyNumberFormat="1" applyFont="1" applyFill="1" applyBorder="1" applyAlignment="1">
      <alignment horizontal="center"/>
    </xf>
    <xf numFmtId="0" fontId="2" fillId="5" borderId="7" xfId="0" applyNumberFormat="1" applyFont="1" applyFill="1" applyBorder="1" applyAlignment="1">
      <alignment horizontal="center"/>
    </xf>
    <xf numFmtId="0" fontId="2" fillId="5" borderId="7" xfId="5" applyNumberFormat="1" applyFont="1" applyFill="1" applyBorder="1" applyAlignment="1">
      <alignment horizontal="center"/>
    </xf>
    <xf numFmtId="0" fontId="2" fillId="5" borderId="6" xfId="5" applyNumberFormat="1" applyFont="1" applyFill="1" applyBorder="1" applyAlignment="1">
      <alignment horizontal="center"/>
    </xf>
    <xf numFmtId="167" fontId="5" fillId="5" borderId="2" xfId="0" applyNumberFormat="1" applyFont="1" applyFill="1" applyBorder="1" applyAlignment="1">
      <alignment horizontal="center"/>
    </xf>
    <xf numFmtId="0" fontId="0" fillId="5" borderId="0" xfId="0" applyFill="1"/>
    <xf numFmtId="14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5" applyNumberFormat="1" applyFont="1" applyFill="1" applyBorder="1" applyAlignment="1">
      <alignment horizontal="center"/>
    </xf>
    <xf numFmtId="0" fontId="2" fillId="0" borderId="3" xfId="5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0" fontId="2" fillId="5" borderId="3" xfId="5" applyNumberFormat="1" applyFont="1" applyFill="1" applyBorder="1" applyAlignment="1">
      <alignment horizontal="center"/>
    </xf>
    <xf numFmtId="0" fontId="2" fillId="5" borderId="4" xfId="5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5" borderId="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168" fontId="2" fillId="0" borderId="8" xfId="5" applyNumberFormat="1" applyFont="1" applyFill="1" applyBorder="1" applyAlignment="1">
      <alignment horizontal="center"/>
    </xf>
    <xf numFmtId="168" fontId="2" fillId="3" borderId="8" xfId="5" applyNumberFormat="1" applyFont="1" applyFill="1" applyBorder="1" applyAlignment="1">
      <alignment horizontal="center"/>
    </xf>
    <xf numFmtId="168" fontId="5" fillId="3" borderId="12" xfId="5" applyNumberFormat="1" applyFont="1" applyFill="1" applyBorder="1" applyAlignment="1">
      <alignment horizontal="center"/>
    </xf>
    <xf numFmtId="168" fontId="2" fillId="4" borderId="8" xfId="5" applyNumberFormat="1" applyFont="1" applyFill="1" applyBorder="1" applyAlignment="1">
      <alignment horizontal="center"/>
    </xf>
    <xf numFmtId="168" fontId="5" fillId="4" borderId="12" xfId="5" applyNumberFormat="1" applyFont="1" applyFill="1" applyBorder="1" applyAlignment="1">
      <alignment horizontal="center"/>
    </xf>
    <xf numFmtId="168" fontId="2" fillId="4" borderId="13" xfId="5" applyNumberFormat="1" applyFont="1" applyFill="1" applyBorder="1" applyAlignment="1">
      <alignment horizontal="center"/>
    </xf>
    <xf numFmtId="168" fontId="5" fillId="4" borderId="14" xfId="5" applyNumberFormat="1" applyFont="1" applyFill="1" applyBorder="1" applyAlignment="1">
      <alignment horizontal="center"/>
    </xf>
    <xf numFmtId="168" fontId="2" fillId="3" borderId="13" xfId="5" applyNumberFormat="1" applyFont="1" applyFill="1" applyBorder="1" applyAlignment="1">
      <alignment horizontal="center"/>
    </xf>
    <xf numFmtId="168" fontId="5" fillId="3" borderId="14" xfId="5" applyNumberFormat="1" applyFont="1" applyFill="1" applyBorder="1" applyAlignment="1">
      <alignment horizontal="center"/>
    </xf>
    <xf numFmtId="168" fontId="5" fillId="0" borderId="14" xfId="5" applyNumberFormat="1" applyFont="1" applyFill="1" applyBorder="1" applyAlignment="1">
      <alignment horizontal="center"/>
    </xf>
    <xf numFmtId="168" fontId="0" fillId="0" borderId="0" xfId="5" applyNumberFormat="1" applyFont="1"/>
    <xf numFmtId="14" fontId="5" fillId="2" borderId="13" xfId="0" applyNumberFormat="1" applyFont="1" applyFill="1" applyBorder="1" applyAlignment="1">
      <alignment horizontal="center"/>
    </xf>
    <xf numFmtId="14" fontId="6" fillId="2" borderId="15" xfId="0" applyNumberFormat="1" applyFont="1" applyFill="1" applyBorder="1" applyAlignment="1">
      <alignment horizontal="center"/>
    </xf>
    <xf numFmtId="167" fontId="4" fillId="2" borderId="16" xfId="0" applyNumberFormat="1" applyFont="1" applyFill="1" applyBorder="1" applyAlignment="1">
      <alignment horizontal="center"/>
    </xf>
    <xf numFmtId="167" fontId="4" fillId="3" borderId="15" xfId="0" applyNumberFormat="1" applyFont="1" applyFill="1" applyBorder="1" applyAlignment="1">
      <alignment horizontal="center"/>
    </xf>
    <xf numFmtId="167" fontId="4" fillId="3" borderId="16" xfId="0" applyNumberFormat="1" applyFont="1" applyFill="1" applyBorder="1" applyAlignment="1">
      <alignment horizontal="center"/>
    </xf>
    <xf numFmtId="167" fontId="4" fillId="4" borderId="15" xfId="0" applyNumberFormat="1" applyFont="1" applyFill="1" applyBorder="1" applyAlignment="1">
      <alignment horizontal="center"/>
    </xf>
    <xf numFmtId="167" fontId="4" fillId="4" borderId="16" xfId="0" applyNumberFormat="1" applyFont="1" applyFill="1" applyBorder="1" applyAlignment="1">
      <alignment horizontal="center"/>
    </xf>
    <xf numFmtId="167" fontId="4" fillId="2" borderId="15" xfId="0" applyNumberFormat="1" applyFont="1" applyFill="1" applyBorder="1" applyAlignment="1">
      <alignment horizontal="center"/>
    </xf>
    <xf numFmtId="167" fontId="4" fillId="2" borderId="17" xfId="0" applyNumberFormat="1" applyFont="1" applyFill="1" applyBorder="1" applyAlignment="1">
      <alignment horizontal="center"/>
    </xf>
    <xf numFmtId="167" fontId="4" fillId="2" borderId="14" xfId="0" applyNumberFormat="1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0" fontId="5" fillId="2" borderId="22" xfId="0" applyNumberFormat="1" applyFont="1" applyFill="1" applyBorder="1" applyAlignment="1">
      <alignment horizontal="center"/>
    </xf>
    <xf numFmtId="10" fontId="5" fillId="2" borderId="2" xfId="0" applyNumberFormat="1" applyFont="1" applyFill="1" applyBorder="1" applyAlignment="1">
      <alignment horizontal="center"/>
    </xf>
    <xf numFmtId="0" fontId="5" fillId="2" borderId="21" xfId="0" applyFont="1" applyFill="1" applyBorder="1"/>
    <xf numFmtId="0" fontId="5" fillId="2" borderId="23" xfId="0" applyFont="1" applyFill="1" applyBorder="1"/>
    <xf numFmtId="169" fontId="5" fillId="2" borderId="23" xfId="0" applyNumberFormat="1" applyFont="1" applyFill="1" applyBorder="1" applyAlignment="1">
      <alignment horizontal="center"/>
    </xf>
    <xf numFmtId="170" fontId="5" fillId="2" borderId="2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27" xfId="5" applyNumberFormat="1" applyFont="1" applyBorder="1" applyAlignment="1">
      <alignment horizontal="center"/>
    </xf>
    <xf numFmtId="0" fontId="5" fillId="0" borderId="28" xfId="5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168" fontId="5" fillId="0" borderId="31" xfId="5" applyNumberFormat="1" applyFont="1" applyBorder="1"/>
    <xf numFmtId="2" fontId="0" fillId="0" borderId="31" xfId="0" applyNumberFormat="1" applyBorder="1"/>
    <xf numFmtId="171" fontId="5" fillId="0" borderId="2" xfId="0" applyNumberFormat="1" applyFont="1" applyFill="1" applyBorder="1" applyAlignment="1">
      <alignment horizontal="center"/>
    </xf>
    <xf numFmtId="0" fontId="5" fillId="0" borderId="0" xfId="0" applyFont="1" applyBorder="1"/>
    <xf numFmtId="2" fontId="0" fillId="0" borderId="0" xfId="0" applyNumberFormat="1" applyBorder="1"/>
    <xf numFmtId="0" fontId="0" fillId="0" borderId="0" xfId="0" applyBorder="1"/>
    <xf numFmtId="172" fontId="0" fillId="0" borderId="0" xfId="0" applyNumberFormat="1" applyBorder="1"/>
    <xf numFmtId="0" fontId="0" fillId="3" borderId="32" xfId="0" applyFill="1" applyBorder="1"/>
    <xf numFmtId="0" fontId="0" fillId="7" borderId="32" xfId="0" applyFill="1" applyBorder="1"/>
    <xf numFmtId="0" fontId="5" fillId="0" borderId="32" xfId="0" applyFont="1" applyBorder="1"/>
    <xf numFmtId="2" fontId="0" fillId="3" borderId="32" xfId="0" applyNumberFormat="1" applyFill="1" applyBorder="1"/>
    <xf numFmtId="2" fontId="0" fillId="7" borderId="32" xfId="0" applyNumberFormat="1" applyFill="1" applyBorder="1"/>
    <xf numFmtId="2" fontId="5" fillId="0" borderId="32" xfId="0" applyNumberFormat="1" applyFont="1" applyBorder="1"/>
    <xf numFmtId="0" fontId="0" fillId="3" borderId="0" xfId="0" applyFill="1"/>
    <xf numFmtId="2" fontId="0" fillId="3" borderId="0" xfId="0" applyNumberFormat="1" applyFill="1"/>
    <xf numFmtId="0" fontId="0" fillId="7" borderId="0" xfId="0" applyFill="1"/>
    <xf numFmtId="2" fontId="0" fillId="7" borderId="0" xfId="0" applyNumberFormat="1" applyFill="1"/>
    <xf numFmtId="168" fontId="5" fillId="3" borderId="33" xfId="5" applyNumberFormat="1" applyFont="1" applyFill="1" applyBorder="1"/>
    <xf numFmtId="168" fontId="5" fillId="7" borderId="33" xfId="5" applyNumberFormat="1" applyFont="1" applyFill="1" applyBorder="1"/>
    <xf numFmtId="0" fontId="5" fillId="0" borderId="1" xfId="0" applyFont="1" applyBorder="1"/>
    <xf numFmtId="168" fontId="5" fillId="8" borderId="33" xfId="5" applyNumberFormat="1" applyFont="1" applyFill="1" applyBorder="1"/>
    <xf numFmtId="0" fontId="5" fillId="0" borderId="34" xfId="0" applyFont="1" applyBorder="1"/>
    <xf numFmtId="0" fontId="9" fillId="8" borderId="0" xfId="13" applyFont="1" applyFill="1"/>
    <xf numFmtId="0" fontId="10" fillId="5" borderId="15" xfId="13" applyFont="1" applyFill="1" applyBorder="1"/>
    <xf numFmtId="0" fontId="12" fillId="9" borderId="35" xfId="13" applyFont="1" applyFill="1" applyBorder="1" applyAlignment="1">
      <alignment horizontal="center" vertical="center"/>
    </xf>
    <xf numFmtId="0" fontId="12" fillId="9" borderId="36" xfId="13" applyFont="1" applyFill="1" applyBorder="1" applyAlignment="1">
      <alignment horizontal="center" vertical="center"/>
    </xf>
    <xf numFmtId="0" fontId="10" fillId="8" borderId="0" xfId="13" applyFont="1" applyFill="1"/>
    <xf numFmtId="0" fontId="10" fillId="5" borderId="8" xfId="13" applyFont="1" applyFill="1" applyBorder="1"/>
    <xf numFmtId="17" fontId="14" fillId="2" borderId="25" xfId="13" applyNumberFormat="1" applyFont="1" applyFill="1" applyBorder="1" applyAlignment="1">
      <alignment horizontal="center" vertical="center"/>
    </xf>
    <xf numFmtId="171" fontId="14" fillId="2" borderId="27" xfId="13" applyNumberFormat="1" applyFont="1" applyFill="1" applyBorder="1" applyAlignment="1">
      <alignment horizontal="center" vertical="center"/>
    </xf>
    <xf numFmtId="173" fontId="15" fillId="2" borderId="37" xfId="26" applyNumberFormat="1" applyFont="1" applyFill="1" applyBorder="1" applyAlignment="1">
      <alignment horizontal="center" vertical="center"/>
    </xf>
    <xf numFmtId="0" fontId="16" fillId="8" borderId="0" xfId="13" applyFont="1" applyFill="1"/>
    <xf numFmtId="0" fontId="17" fillId="8" borderId="0" xfId="13" applyFont="1" applyFill="1"/>
    <xf numFmtId="17" fontId="14" fillId="2" borderId="3" xfId="13" applyNumberFormat="1" applyFont="1" applyFill="1" applyBorder="1" applyAlignment="1">
      <alignment horizontal="center" vertical="center"/>
    </xf>
    <xf numFmtId="171" fontId="14" fillId="2" borderId="32" xfId="13" applyNumberFormat="1" applyFont="1" applyFill="1" applyBorder="1" applyAlignment="1">
      <alignment horizontal="center" vertical="center"/>
    </xf>
    <xf numFmtId="173" fontId="15" fillId="2" borderId="4" xfId="26" applyNumberFormat="1" applyFont="1" applyFill="1" applyBorder="1" applyAlignment="1">
      <alignment horizontal="center" vertical="center"/>
    </xf>
    <xf numFmtId="0" fontId="10" fillId="5" borderId="5" xfId="13" applyFont="1" applyFill="1" applyBorder="1"/>
    <xf numFmtId="17" fontId="14" fillId="2" borderId="29" xfId="13" applyNumberFormat="1" applyFont="1" applyFill="1" applyBorder="1" applyAlignment="1">
      <alignment horizontal="center" vertical="center"/>
    </xf>
    <xf numFmtId="171" fontId="14" fillId="2" borderId="31" xfId="13" applyNumberFormat="1" applyFont="1" applyFill="1" applyBorder="1" applyAlignment="1">
      <alignment horizontal="center" vertical="center"/>
    </xf>
    <xf numFmtId="173" fontId="15" fillId="2" borderId="38" xfId="26" applyNumberFormat="1" applyFont="1" applyFill="1" applyBorder="1" applyAlignment="1">
      <alignment horizontal="center" vertical="center"/>
    </xf>
    <xf numFmtId="0" fontId="9" fillId="8" borderId="8" xfId="13" applyFont="1" applyFill="1" applyBorder="1"/>
    <xf numFmtId="0" fontId="9" fillId="8" borderId="0" xfId="13" applyFont="1" applyFill="1" applyBorder="1"/>
    <xf numFmtId="0" fontId="9" fillId="8" borderId="0" xfId="13" applyFont="1" applyFill="1" applyBorder="1" applyAlignment="1">
      <alignment horizontal="center" vertical="center" wrapText="1"/>
    </xf>
    <xf numFmtId="0" fontId="9" fillId="8" borderId="12" xfId="13" applyFont="1" applyFill="1" applyBorder="1"/>
    <xf numFmtId="0" fontId="19" fillId="8" borderId="0" xfId="13" applyFont="1" applyFill="1" applyBorder="1" applyAlignment="1">
      <alignment vertical="center" wrapText="1"/>
    </xf>
    <xf numFmtId="0" fontId="19" fillId="8" borderId="12" xfId="13" applyFont="1" applyFill="1" applyBorder="1" applyAlignment="1">
      <alignment vertical="center" wrapText="1"/>
    </xf>
    <xf numFmtId="0" fontId="19" fillId="0" borderId="39" xfId="13" applyFont="1" applyBorder="1" applyAlignment="1">
      <alignment horizontal="center" vertical="center" wrapText="1"/>
    </xf>
    <xf numFmtId="0" fontId="19" fillId="0" borderId="40" xfId="13" applyFont="1" applyBorder="1" applyAlignment="1">
      <alignment horizontal="center" vertical="center" wrapText="1"/>
    </xf>
    <xf numFmtId="0" fontId="19" fillId="0" borderId="41" xfId="13" applyFont="1" applyBorder="1" applyAlignment="1">
      <alignment horizontal="center" vertical="center" wrapText="1"/>
    </xf>
    <xf numFmtId="0" fontId="19" fillId="0" borderId="42" xfId="13" applyFont="1" applyBorder="1" applyAlignment="1">
      <alignment horizontal="center" vertical="center" wrapText="1"/>
    </xf>
    <xf numFmtId="0" fontId="19" fillId="0" borderId="0" xfId="13" applyFont="1" applyBorder="1" applyAlignment="1">
      <alignment horizontal="center" vertical="center" wrapText="1"/>
    </xf>
    <xf numFmtId="0" fontId="19" fillId="0" borderId="12" xfId="13" applyFont="1" applyBorder="1" applyAlignment="1">
      <alignment horizontal="center" vertical="center" wrapText="1"/>
    </xf>
    <xf numFmtId="167" fontId="5" fillId="0" borderId="25" xfId="0" applyNumberFormat="1" applyFont="1" applyBorder="1"/>
    <xf numFmtId="167" fontId="5" fillId="0" borderId="27" xfId="0" applyNumberFormat="1" applyFont="1" applyBorder="1"/>
    <xf numFmtId="167" fontId="5" fillId="0" borderId="28" xfId="0" applyNumberFormat="1" applyFont="1" applyBorder="1"/>
    <xf numFmtId="167" fontId="5" fillId="0" borderId="18" xfId="0" applyNumberFormat="1" applyFont="1" applyBorder="1"/>
    <xf numFmtId="167" fontId="5" fillId="0" borderId="19" xfId="0" applyNumberFormat="1" applyFont="1" applyBorder="1"/>
    <xf numFmtId="167" fontId="5" fillId="0" borderId="43" xfId="0" applyNumberFormat="1" applyFont="1" applyBorder="1"/>
    <xf numFmtId="0" fontId="19" fillId="0" borderId="44" xfId="13" applyFont="1" applyBorder="1" applyAlignment="1">
      <alignment horizontal="center" vertical="center" wrapText="1"/>
    </xf>
    <xf numFmtId="0" fontId="19" fillId="0" borderId="45" xfId="13" applyFont="1" applyBorder="1" applyAlignment="1">
      <alignment horizontal="center" vertical="center" wrapText="1"/>
    </xf>
    <xf numFmtId="0" fontId="19" fillId="0" borderId="46" xfId="13" applyFont="1" applyBorder="1" applyAlignment="1">
      <alignment horizontal="center" vertical="center" wrapText="1"/>
    </xf>
    <xf numFmtId="0" fontId="9" fillId="8" borderId="0" xfId="13" applyFont="1" applyFill="1" applyBorder="1" applyAlignment="1">
      <alignment vertical="center" wrapText="1"/>
    </xf>
    <xf numFmtId="0" fontId="20" fillId="8" borderId="8" xfId="13" applyFont="1" applyFill="1" applyBorder="1"/>
    <xf numFmtId="0" fontId="9" fillId="8" borderId="0" xfId="13" applyFont="1" applyFill="1" applyBorder="1" applyAlignment="1">
      <alignment horizontal="left" vertical="top" wrapText="1" indent="3"/>
    </xf>
    <xf numFmtId="0" fontId="9" fillId="8" borderId="0" xfId="13" applyFont="1" applyFill="1" applyBorder="1" applyAlignment="1">
      <alignment vertical="top" wrapText="1"/>
    </xf>
    <xf numFmtId="0" fontId="9" fillId="8" borderId="0" xfId="13" applyFont="1" applyFill="1" applyBorder="1" applyAlignment="1">
      <alignment horizontal="center" vertical="top" wrapText="1"/>
    </xf>
    <xf numFmtId="0" fontId="18" fillId="5" borderId="47" xfId="13" applyFont="1" applyFill="1" applyBorder="1" applyAlignment="1">
      <alignment horizontal="center" vertical="center"/>
    </xf>
    <xf numFmtId="17" fontId="18" fillId="5" borderId="48" xfId="13" applyNumberFormat="1" applyFont="1" applyFill="1" applyBorder="1" applyAlignment="1">
      <alignment horizontal="center" vertical="center"/>
    </xf>
    <xf numFmtId="17" fontId="18" fillId="5" borderId="49" xfId="13" applyNumberFormat="1" applyFont="1" applyFill="1" applyBorder="1" applyAlignment="1">
      <alignment horizontal="center" vertical="center"/>
    </xf>
    <xf numFmtId="0" fontId="21" fillId="8" borderId="33" xfId="13" applyFont="1" applyFill="1" applyBorder="1" applyAlignment="1">
      <alignment horizontal="center"/>
    </xf>
    <xf numFmtId="0" fontId="2" fillId="0" borderId="25" xfId="13" applyFont="1" applyBorder="1" applyAlignment="1">
      <alignment horizontal="left"/>
    </xf>
    <xf numFmtId="167" fontId="22" fillId="0" borderId="27" xfId="13" applyNumberFormat="1" applyFont="1" applyFill="1" applyBorder="1" applyAlignment="1">
      <alignment horizontal="center"/>
    </xf>
    <xf numFmtId="167" fontId="22" fillId="0" borderId="27" xfId="6" applyNumberFormat="1" applyFont="1" applyFill="1" applyBorder="1" applyAlignment="1">
      <alignment horizontal="center"/>
    </xf>
    <xf numFmtId="167" fontId="22" fillId="0" borderId="37" xfId="6" applyNumberFormat="1" applyFont="1" applyFill="1" applyBorder="1" applyAlignment="1">
      <alignment horizontal="center"/>
    </xf>
    <xf numFmtId="0" fontId="2" fillId="0" borderId="29" xfId="13" applyFont="1" applyBorder="1" applyAlignment="1">
      <alignment horizontal="left"/>
    </xf>
    <xf numFmtId="167" fontId="22" fillId="0" borderId="31" xfId="13" applyNumberFormat="1" applyFont="1" applyFill="1" applyBorder="1" applyAlignment="1">
      <alignment horizontal="center"/>
    </xf>
    <xf numFmtId="167" fontId="22" fillId="0" borderId="38" xfId="13" applyNumberFormat="1" applyFont="1" applyFill="1" applyBorder="1" applyAlignment="1">
      <alignment horizontal="center"/>
    </xf>
    <xf numFmtId="167" fontId="24" fillId="0" borderId="38" xfId="13" applyNumberFormat="1" applyFont="1" applyFill="1" applyBorder="1" applyAlignment="1">
      <alignment horizontal="center"/>
    </xf>
    <xf numFmtId="10" fontId="9" fillId="8" borderId="0" xfId="26" applyNumberFormat="1" applyFont="1" applyFill="1"/>
    <xf numFmtId="167" fontId="22" fillId="8" borderId="27" xfId="6" applyNumberFormat="1" applyFont="1" applyFill="1" applyBorder="1" applyAlignment="1">
      <alignment horizontal="center"/>
    </xf>
    <xf numFmtId="167" fontId="25" fillId="8" borderId="37" xfId="6" applyNumberFormat="1" applyFont="1" applyFill="1" applyBorder="1" applyAlignment="1">
      <alignment horizontal="center"/>
    </xf>
    <xf numFmtId="0" fontId="5" fillId="0" borderId="29" xfId="13" applyFont="1" applyBorder="1" applyAlignment="1">
      <alignment horizontal="left"/>
    </xf>
    <xf numFmtId="167" fontId="24" fillId="0" borderId="50" xfId="13" applyNumberFormat="1" applyFont="1" applyFill="1" applyBorder="1" applyAlignment="1">
      <alignment horizontal="center"/>
    </xf>
    <xf numFmtId="167" fontId="22" fillId="0" borderId="50" xfId="13" applyNumberFormat="1" applyFont="1" applyFill="1" applyBorder="1" applyAlignment="1">
      <alignment horizontal="center"/>
    </xf>
    <xf numFmtId="167" fontId="22" fillId="0" borderId="10" xfId="13" applyNumberFormat="1" applyFont="1" applyFill="1" applyBorder="1" applyAlignment="1">
      <alignment horizontal="center"/>
    </xf>
    <xf numFmtId="167" fontId="24" fillId="0" borderId="10" xfId="13" applyNumberFormat="1" applyFont="1" applyFill="1" applyBorder="1" applyAlignment="1">
      <alignment horizontal="center"/>
    </xf>
    <xf numFmtId="0" fontId="5" fillId="10" borderId="51" xfId="13" applyFont="1" applyFill="1" applyBorder="1" applyAlignment="1">
      <alignment horizontal="center" vertical="center" wrapText="1"/>
    </xf>
    <xf numFmtId="9" fontId="24" fillId="11" borderId="25" xfId="27" applyNumberFormat="1" applyFont="1" applyFill="1" applyBorder="1" applyAlignment="1">
      <alignment horizontal="center"/>
    </xf>
    <xf numFmtId="9" fontId="24" fillId="11" borderId="27" xfId="27" applyNumberFormat="1" applyFont="1" applyFill="1" applyBorder="1" applyAlignment="1">
      <alignment horizontal="center"/>
    </xf>
    <xf numFmtId="9" fontId="24" fillId="11" borderId="28" xfId="27" applyNumberFormat="1" applyFont="1" applyFill="1" applyBorder="1" applyAlignment="1">
      <alignment horizontal="center"/>
    </xf>
    <xf numFmtId="9" fontId="26" fillId="11" borderId="27" xfId="27" applyNumberFormat="1" applyFont="1" applyFill="1" applyBorder="1" applyAlignment="1">
      <alignment horizontal="center"/>
    </xf>
    <xf numFmtId="0" fontId="5" fillId="10" borderId="51" xfId="13" applyFont="1" applyFill="1" applyBorder="1" applyAlignment="1">
      <alignment horizontal="left"/>
    </xf>
    <xf numFmtId="0" fontId="24" fillId="11" borderId="3" xfId="27" applyNumberFormat="1" applyFont="1" applyFill="1" applyBorder="1" applyAlignment="1">
      <alignment horizontal="center"/>
    </xf>
    <xf numFmtId="0" fontId="24" fillId="11" borderId="32" xfId="27" applyNumberFormat="1" applyFont="1" applyFill="1" applyBorder="1" applyAlignment="1">
      <alignment horizontal="center"/>
    </xf>
    <xf numFmtId="0" fontId="24" fillId="11" borderId="32" xfId="13" applyNumberFormat="1" applyFont="1" applyFill="1" applyBorder="1" applyAlignment="1">
      <alignment horizontal="center"/>
    </xf>
    <xf numFmtId="0" fontId="24" fillId="11" borderId="4" xfId="13" applyNumberFormat="1" applyFont="1" applyFill="1" applyBorder="1" applyAlignment="1">
      <alignment horizontal="center"/>
    </xf>
    <xf numFmtId="0" fontId="26" fillId="11" borderId="32" xfId="13" applyNumberFormat="1" applyFont="1" applyFill="1" applyBorder="1" applyAlignment="1">
      <alignment horizontal="center"/>
    </xf>
    <xf numFmtId="0" fontId="5" fillId="10" borderId="1" xfId="13" applyFont="1" applyFill="1" applyBorder="1" applyAlignment="1">
      <alignment horizontal="left"/>
    </xf>
    <xf numFmtId="173" fontId="24" fillId="11" borderId="29" xfId="5" applyNumberFormat="1" applyFont="1" applyFill="1" applyBorder="1" applyAlignment="1">
      <alignment horizontal="center"/>
    </xf>
    <xf numFmtId="173" fontId="24" fillId="11" borderId="31" xfId="5" applyNumberFormat="1" applyFont="1" applyFill="1" applyBorder="1" applyAlignment="1">
      <alignment horizontal="center"/>
    </xf>
    <xf numFmtId="173" fontId="24" fillId="10" borderId="31" xfId="5" applyNumberFormat="1" applyFont="1" applyFill="1" applyBorder="1" applyAlignment="1"/>
    <xf numFmtId="173" fontId="26" fillId="10" borderId="31" xfId="5" applyNumberFormat="1" applyFont="1" applyFill="1" applyBorder="1" applyAlignment="1"/>
    <xf numFmtId="0" fontId="9" fillId="12" borderId="0" xfId="13" applyFont="1" applyFill="1"/>
    <xf numFmtId="0" fontId="5" fillId="12" borderId="40" xfId="13" applyFont="1" applyFill="1" applyBorder="1" applyAlignment="1">
      <alignment horizontal="left"/>
    </xf>
    <xf numFmtId="173" fontId="24" fillId="12" borderId="22" xfId="5" applyNumberFormat="1" applyFont="1" applyFill="1" applyBorder="1" applyAlignment="1"/>
    <xf numFmtId="173" fontId="24" fillId="12" borderId="14" xfId="5" applyNumberFormat="1" applyFont="1" applyFill="1" applyBorder="1" applyAlignment="1"/>
    <xf numFmtId="0" fontId="5" fillId="10" borderId="52" xfId="13" applyFont="1" applyFill="1" applyBorder="1" applyAlignment="1">
      <alignment horizontal="left"/>
    </xf>
    <xf numFmtId="174" fontId="22" fillId="10" borderId="53" xfId="27" applyNumberFormat="1" applyFont="1" applyFill="1" applyBorder="1" applyAlignment="1">
      <alignment horizontal="center"/>
    </xf>
    <xf numFmtId="4" fontId="22" fillId="10" borderId="53" xfId="13" applyNumberFormat="1" applyFont="1" applyFill="1" applyBorder="1" applyAlignment="1">
      <alignment horizontal="center"/>
    </xf>
    <xf numFmtId="4" fontId="22" fillId="10" borderId="54" xfId="13" applyNumberFormat="1" applyFont="1" applyFill="1" applyBorder="1" applyAlignment="1">
      <alignment horizontal="center"/>
    </xf>
    <xf numFmtId="0" fontId="2" fillId="0" borderId="51" xfId="13" applyFont="1" applyBorder="1" applyAlignment="1">
      <alignment horizontal="center"/>
    </xf>
    <xf numFmtId="168" fontId="27" fillId="13" borderId="32" xfId="13" applyNumberFormat="1" applyFont="1" applyFill="1" applyBorder="1" applyAlignment="1">
      <alignment horizontal="center"/>
    </xf>
    <xf numFmtId="168" fontId="27" fillId="13" borderId="1" xfId="13" applyNumberFormat="1" applyFont="1" applyFill="1" applyBorder="1" applyAlignment="1">
      <alignment horizontal="center"/>
    </xf>
    <xf numFmtId="168" fontId="23" fillId="8" borderId="33" xfId="13" applyNumberFormat="1" applyFont="1" applyFill="1" applyBorder="1"/>
    <xf numFmtId="9" fontId="27" fillId="13" borderId="32" xfId="27" applyNumberFormat="1" applyFont="1" applyFill="1" applyBorder="1" applyAlignment="1">
      <alignment horizontal="center"/>
    </xf>
    <xf numFmtId="0" fontId="28" fillId="8" borderId="0" xfId="13" applyFont="1" applyFill="1"/>
    <xf numFmtId="167" fontId="9" fillId="8" borderId="0" xfId="13" applyNumberFormat="1" applyFont="1" applyFill="1"/>
    <xf numFmtId="9" fontId="9" fillId="8" borderId="0" xfId="26" applyFont="1" applyFill="1"/>
    <xf numFmtId="9" fontId="9" fillId="8" borderId="0" xfId="13" applyNumberFormat="1" applyFont="1" applyFill="1"/>
    <xf numFmtId="167" fontId="5" fillId="0" borderId="26" xfId="0" applyNumberFormat="1" applyFont="1" applyBorder="1"/>
    <xf numFmtId="167" fontId="5" fillId="0" borderId="55" xfId="0" applyNumberFormat="1" applyFont="1" applyBorder="1"/>
    <xf numFmtId="167" fontId="9" fillId="8" borderId="0" xfId="13" applyNumberFormat="1" applyFont="1" applyFill="1" applyBorder="1" applyAlignment="1">
      <alignment horizontal="left" vertical="top" wrapText="1" indent="3"/>
    </xf>
    <xf numFmtId="167" fontId="22" fillId="0" borderId="28" xfId="6" applyNumberFormat="1" applyFont="1" applyFill="1" applyBorder="1" applyAlignment="1">
      <alignment horizontal="center"/>
    </xf>
    <xf numFmtId="167" fontId="32" fillId="8" borderId="56" xfId="13" applyNumberFormat="1" applyFont="1" applyFill="1" applyBorder="1"/>
    <xf numFmtId="0" fontId="2" fillId="0" borderId="47" xfId="13" applyFont="1" applyBorder="1" applyAlignment="1">
      <alignment horizontal="left"/>
    </xf>
    <xf numFmtId="167" fontId="32" fillId="8" borderId="57" xfId="13" applyNumberFormat="1" applyFont="1" applyFill="1" applyBorder="1"/>
    <xf numFmtId="9" fontId="34" fillId="14" borderId="56" xfId="26" applyFont="1" applyFill="1" applyBorder="1" applyAlignment="1">
      <alignment horizontal="center"/>
    </xf>
    <xf numFmtId="0" fontId="5" fillId="2" borderId="57" xfId="13" applyFont="1" applyFill="1" applyBorder="1"/>
    <xf numFmtId="167" fontId="22" fillId="0" borderId="25" xfId="13" applyNumberFormat="1" applyFont="1" applyFill="1" applyBorder="1" applyAlignment="1">
      <alignment horizontal="center"/>
    </xf>
    <xf numFmtId="167" fontId="25" fillId="2" borderId="27" xfId="13" applyNumberFormat="1" applyFont="1" applyFill="1" applyBorder="1" applyAlignment="1">
      <alignment horizontal="center"/>
    </xf>
    <xf numFmtId="167" fontId="25" fillId="2" borderId="27" xfId="6" applyNumberFormat="1" applyFont="1" applyFill="1" applyBorder="1" applyAlignment="1">
      <alignment horizontal="center"/>
    </xf>
    <xf numFmtId="167" fontId="25" fillId="2" borderId="28" xfId="6" applyNumberFormat="1" applyFont="1" applyFill="1" applyBorder="1" applyAlignment="1">
      <alignment horizontal="center"/>
    </xf>
    <xf numFmtId="167" fontId="32" fillId="8" borderId="51" xfId="13" applyNumberFormat="1" applyFont="1" applyFill="1" applyBorder="1"/>
    <xf numFmtId="9" fontId="20" fillId="2" borderId="57" xfId="26" applyFont="1" applyFill="1" applyBorder="1" applyAlignment="1">
      <alignment horizontal="center"/>
    </xf>
    <xf numFmtId="9" fontId="35" fillId="8" borderId="0" xfId="26" applyFont="1" applyFill="1"/>
    <xf numFmtId="0" fontId="10" fillId="8" borderId="15" xfId="13" applyFont="1" applyFill="1" applyBorder="1"/>
    <xf numFmtId="0" fontId="37" fillId="5" borderId="47" xfId="13" applyFont="1" applyFill="1" applyBorder="1" applyAlignment="1">
      <alignment horizontal="center" vertical="center"/>
    </xf>
    <xf numFmtId="0" fontId="37" fillId="5" borderId="48" xfId="13" applyFont="1" applyFill="1" applyBorder="1" applyAlignment="1">
      <alignment horizontal="center" vertical="center"/>
    </xf>
    <xf numFmtId="0" fontId="37" fillId="5" borderId="49" xfId="13" applyFont="1" applyFill="1" applyBorder="1" applyAlignment="1">
      <alignment horizontal="center" vertical="center"/>
    </xf>
    <xf numFmtId="0" fontId="10" fillId="8" borderId="8" xfId="13" applyFont="1" applyFill="1" applyBorder="1"/>
    <xf numFmtId="0" fontId="38" fillId="5" borderId="15" xfId="13" applyFont="1" applyFill="1" applyBorder="1" applyAlignment="1">
      <alignment horizontal="left" vertical="center"/>
    </xf>
    <xf numFmtId="0" fontId="39" fillId="5" borderId="17" xfId="13" applyFont="1" applyFill="1" applyBorder="1"/>
    <xf numFmtId="0" fontId="38" fillId="5" borderId="17" xfId="13" applyFont="1" applyFill="1" applyBorder="1" applyAlignment="1">
      <alignment horizontal="left" vertical="center"/>
    </xf>
    <xf numFmtId="0" fontId="38" fillId="5" borderId="17" xfId="13" applyFont="1" applyFill="1" applyBorder="1" applyAlignment="1">
      <alignment vertical="center" wrapText="1"/>
    </xf>
    <xf numFmtId="0" fontId="38" fillId="5" borderId="16" xfId="13" applyFont="1" applyFill="1" applyBorder="1" applyAlignment="1">
      <alignment vertical="center" wrapText="1"/>
    </xf>
    <xf numFmtId="17" fontId="26" fillId="8" borderId="58" xfId="13" applyNumberFormat="1" applyFont="1" applyFill="1" applyBorder="1" applyAlignment="1">
      <alignment horizontal="center" vertical="center"/>
    </xf>
    <xf numFmtId="168" fontId="26" fillId="8" borderId="56" xfId="13" applyNumberFormat="1" applyFont="1" applyFill="1" applyBorder="1" applyAlignment="1">
      <alignment horizontal="center" vertical="center"/>
    </xf>
    <xf numFmtId="0" fontId="38" fillId="5" borderId="8" xfId="13" applyFont="1" applyFill="1" applyBorder="1" applyAlignment="1">
      <alignment vertical="center"/>
    </xf>
    <xf numFmtId="0" fontId="39" fillId="5" borderId="0" xfId="13" applyFont="1" applyFill="1" applyBorder="1"/>
    <xf numFmtId="0" fontId="38" fillId="5" borderId="0" xfId="13" applyFont="1" applyFill="1" applyBorder="1" applyAlignment="1">
      <alignment vertical="center"/>
    </xf>
    <xf numFmtId="0" fontId="38" fillId="5" borderId="59" xfId="13" applyFont="1" applyFill="1" applyBorder="1" applyAlignment="1">
      <alignment vertical="center" wrapText="1"/>
    </xf>
    <xf numFmtId="0" fontId="38" fillId="5" borderId="60" xfId="13" applyFont="1" applyFill="1" applyBorder="1" applyAlignment="1">
      <alignment vertical="center" wrapText="1"/>
    </xf>
    <xf numFmtId="17" fontId="26" fillId="8" borderId="51" xfId="13" applyNumberFormat="1" applyFont="1" applyFill="1" applyBorder="1" applyAlignment="1">
      <alignment horizontal="center" vertical="center"/>
    </xf>
    <xf numFmtId="168" fontId="26" fillId="8" borderId="57" xfId="13" applyNumberFormat="1" applyFont="1" applyFill="1" applyBorder="1" applyAlignment="1">
      <alignment horizontal="center" vertical="center"/>
    </xf>
    <xf numFmtId="10" fontId="38" fillId="13" borderId="11" xfId="13" applyNumberFormat="1" applyFont="1" applyFill="1" applyBorder="1" applyAlignment="1">
      <alignment horizontal="center" vertical="center"/>
    </xf>
    <xf numFmtId="0" fontId="10" fillId="8" borderId="5" xfId="13" applyFont="1" applyFill="1" applyBorder="1"/>
    <xf numFmtId="17" fontId="26" fillId="8" borderId="52" xfId="13" applyNumberFormat="1" applyFont="1" applyFill="1" applyBorder="1" applyAlignment="1">
      <alignment horizontal="center" vertical="center"/>
    </xf>
    <xf numFmtId="168" fontId="26" fillId="8" borderId="61" xfId="13" applyNumberFormat="1" applyFont="1" applyFill="1" applyBorder="1" applyAlignment="1">
      <alignment horizontal="center" vertical="center"/>
    </xf>
    <xf numFmtId="10" fontId="38" fillId="14" borderId="54" xfId="13" applyNumberFormat="1" applyFont="1" applyFill="1" applyBorder="1" applyAlignment="1">
      <alignment horizontal="center" vertical="center"/>
    </xf>
    <xf numFmtId="0" fontId="9" fillId="5" borderId="0" xfId="13" applyFont="1" applyFill="1" applyBorder="1"/>
    <xf numFmtId="0" fontId="9" fillId="8" borderId="0" xfId="13" applyFont="1" applyFill="1" applyBorder="1"/>
    <xf numFmtId="0" fontId="19" fillId="8" borderId="0" xfId="13" applyFont="1" applyFill="1" applyBorder="1" applyAlignment="1">
      <alignment vertical="center" wrapText="1"/>
    </xf>
    <xf numFmtId="0" fontId="19" fillId="8" borderId="0" xfId="13" applyFont="1" applyFill="1" applyBorder="1" applyAlignment="1">
      <alignment horizontal="center" vertical="center" wrapText="1"/>
    </xf>
    <xf numFmtId="0" fontId="42" fillId="8" borderId="0" xfId="13" applyFont="1" applyFill="1" applyBorder="1"/>
    <xf numFmtId="0" fontId="35" fillId="8" borderId="0" xfId="13" applyFont="1" applyFill="1" applyBorder="1" applyAlignment="1">
      <alignment horizontal="left" vertical="top" wrapText="1"/>
    </xf>
    <xf numFmtId="0" fontId="35" fillId="8" borderId="0" xfId="13" applyFont="1" applyFill="1" applyBorder="1" applyAlignment="1">
      <alignment horizontal="center" vertical="top" wrapText="1"/>
    </xf>
    <xf numFmtId="0" fontId="9" fillId="8" borderId="0" xfId="13" applyFont="1" applyFill="1" applyBorder="1" applyAlignment="1">
      <alignment horizontal="center"/>
    </xf>
    <xf numFmtId="0" fontId="20" fillId="8" borderId="0" xfId="13" applyFont="1" applyFill="1" applyBorder="1"/>
    <xf numFmtId="0" fontId="43" fillId="5" borderId="25" xfId="0" applyFont="1" applyFill="1" applyBorder="1" applyAlignment="1">
      <alignment horizontal="center" vertical="center" wrapText="1"/>
    </xf>
    <xf numFmtId="0" fontId="43" fillId="5" borderId="27" xfId="0" applyFont="1" applyFill="1" applyBorder="1" applyAlignment="1">
      <alignment horizontal="center"/>
    </xf>
    <xf numFmtId="0" fontId="43" fillId="5" borderId="37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 vertical="center" wrapText="1"/>
    </xf>
    <xf numFmtId="168" fontId="24" fillId="0" borderId="32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>
      <alignment horizontal="center" vertical="center"/>
    </xf>
    <xf numFmtId="3" fontId="44" fillId="0" borderId="32" xfId="0" applyNumberFormat="1" applyFont="1" applyFill="1" applyBorder="1" applyAlignment="1">
      <alignment horizontal="center" vertical="center"/>
    </xf>
    <xf numFmtId="0" fontId="44" fillId="0" borderId="32" xfId="3" applyNumberFormat="1" applyFont="1" applyFill="1" applyBorder="1" applyAlignment="1">
      <alignment horizontal="center" vertical="center"/>
    </xf>
    <xf numFmtId="0" fontId="43" fillId="5" borderId="58" xfId="0" applyFont="1" applyFill="1" applyBorder="1" applyAlignment="1"/>
    <xf numFmtId="0" fontId="43" fillId="5" borderId="32" xfId="0" applyFont="1" applyFill="1" applyBorder="1" applyAlignment="1">
      <alignment horizontal="center"/>
    </xf>
    <xf numFmtId="0" fontId="43" fillId="5" borderId="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10" fontId="22" fillId="0" borderId="32" xfId="0" applyNumberFormat="1" applyFont="1" applyFill="1" applyBorder="1" applyAlignment="1">
      <alignment horizontal="center"/>
    </xf>
    <xf numFmtId="0" fontId="9" fillId="0" borderId="0" xfId="13" applyFont="1" applyFill="1"/>
    <xf numFmtId="10" fontId="22" fillId="0" borderId="50" xfId="0" applyNumberFormat="1" applyFont="1" applyFill="1" applyBorder="1" applyAlignment="1">
      <alignment horizontal="center"/>
    </xf>
    <xf numFmtId="0" fontId="24" fillId="10" borderId="29" xfId="0" applyFont="1" applyFill="1" applyBorder="1" applyAlignment="1">
      <alignment horizontal="center"/>
    </xf>
    <xf numFmtId="10" fontId="24" fillId="10" borderId="31" xfId="0" applyNumberFormat="1" applyFont="1" applyFill="1" applyBorder="1" applyAlignment="1">
      <alignment horizontal="center"/>
    </xf>
    <xf numFmtId="0" fontId="15" fillId="8" borderId="0" xfId="13" applyFont="1" applyFill="1"/>
    <xf numFmtId="0" fontId="43" fillId="5" borderId="15" xfId="0" applyFont="1" applyFill="1" applyBorder="1" applyAlignment="1"/>
    <xf numFmtId="0" fontId="43" fillId="5" borderId="50" xfId="0" applyFont="1" applyFill="1" applyBorder="1" applyAlignment="1">
      <alignment horizontal="center"/>
    </xf>
    <xf numFmtId="0" fontId="43" fillId="5" borderId="10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left"/>
    </xf>
    <xf numFmtId="168" fontId="22" fillId="0" borderId="25" xfId="5" applyNumberFormat="1" applyFont="1" applyFill="1" applyBorder="1" applyAlignment="1">
      <alignment horizontal="center"/>
    </xf>
    <xf numFmtId="168" fontId="22" fillId="0" borderId="27" xfId="5" applyNumberFormat="1" applyFont="1" applyFill="1" applyBorder="1" applyAlignment="1">
      <alignment horizontal="center"/>
    </xf>
    <xf numFmtId="168" fontId="22" fillId="0" borderId="37" xfId="5" applyNumberFormat="1" applyFont="1" applyFill="1" applyBorder="1" applyAlignment="1">
      <alignment horizontal="center"/>
    </xf>
    <xf numFmtId="168" fontId="22" fillId="0" borderId="3" xfId="5" applyNumberFormat="1" applyFont="1" applyFill="1" applyBorder="1" applyAlignment="1">
      <alignment horizontal="center"/>
    </xf>
    <xf numFmtId="168" fontId="22" fillId="0" borderId="32" xfId="5" applyNumberFormat="1" applyFont="1" applyFill="1" applyBorder="1" applyAlignment="1">
      <alignment horizontal="center"/>
    </xf>
    <xf numFmtId="168" fontId="22" fillId="10" borderId="32" xfId="5" applyNumberFormat="1" applyFont="1" applyFill="1" applyBorder="1" applyAlignment="1">
      <alignment horizontal="center"/>
    </xf>
    <xf numFmtId="168" fontId="22" fillId="10" borderId="4" xfId="5" applyNumberFormat="1" applyFont="1" applyFill="1" applyBorder="1" applyAlignment="1">
      <alignment horizontal="center"/>
    </xf>
    <xf numFmtId="168" fontId="22" fillId="0" borderId="4" xfId="5" applyNumberFormat="1" applyFont="1" applyFill="1" applyBorder="1" applyAlignment="1">
      <alignment horizontal="center"/>
    </xf>
    <xf numFmtId="168" fontId="22" fillId="10" borderId="3" xfId="5" applyNumberFormat="1" applyFont="1" applyFill="1" applyBorder="1" applyAlignment="1">
      <alignment horizontal="center"/>
    </xf>
    <xf numFmtId="168" fontId="22" fillId="10" borderId="29" xfId="5" applyNumberFormat="1" applyFont="1" applyFill="1" applyBorder="1" applyAlignment="1">
      <alignment horizontal="center"/>
    </xf>
    <xf numFmtId="168" fontId="22" fillId="10" borderId="31" xfId="5" applyNumberFormat="1" applyFont="1" applyFill="1" applyBorder="1" applyAlignment="1">
      <alignment horizontal="center"/>
    </xf>
    <xf numFmtId="0" fontId="24" fillId="10" borderId="62" xfId="0" applyFont="1" applyFill="1" applyBorder="1" applyAlignment="1">
      <alignment horizontal="center"/>
    </xf>
    <xf numFmtId="168" fontId="24" fillId="10" borderId="6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13" applyFont="1" applyFill="1" applyBorder="1"/>
    <xf numFmtId="0" fontId="5" fillId="15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10" borderId="29" xfId="0" applyFont="1" applyFill="1" applyBorder="1" applyAlignment="1">
      <alignment horizontal="center"/>
    </xf>
    <xf numFmtId="10" fontId="5" fillId="10" borderId="31" xfId="0" applyNumberFormat="1" applyFont="1" applyFill="1" applyBorder="1" applyAlignment="1">
      <alignment horizontal="center"/>
    </xf>
    <xf numFmtId="168" fontId="22" fillId="0" borderId="50" xfId="5" applyNumberFormat="1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168" fontId="24" fillId="10" borderId="19" xfId="0" applyNumberFormat="1" applyFont="1" applyFill="1" applyBorder="1" applyAlignment="1">
      <alignment horizontal="center"/>
    </xf>
    <xf numFmtId="168" fontId="24" fillId="10" borderId="20" xfId="0" applyNumberFormat="1" applyFont="1" applyFill="1" applyBorder="1" applyAlignment="1">
      <alignment horizontal="center"/>
    </xf>
    <xf numFmtId="0" fontId="27" fillId="5" borderId="24" xfId="0" applyFont="1" applyFill="1" applyBorder="1" applyAlignment="1">
      <alignment horizontal="center"/>
    </xf>
    <xf numFmtId="0" fontId="38" fillId="5" borderId="24" xfId="0" applyFont="1" applyFill="1" applyBorder="1" applyAlignment="1">
      <alignment horizontal="center"/>
    </xf>
    <xf numFmtId="17" fontId="23" fillId="8" borderId="25" xfId="26" applyNumberFormat="1" applyFont="1" applyFill="1" applyBorder="1" applyAlignment="1">
      <alignment horizontal="center"/>
    </xf>
    <xf numFmtId="10" fontId="23" fillId="8" borderId="27" xfId="26" applyNumberFormat="1" applyFont="1" applyFill="1" applyBorder="1" applyAlignment="1">
      <alignment horizontal="center"/>
    </xf>
    <xf numFmtId="10" fontId="23" fillId="8" borderId="64" xfId="26" applyNumberFormat="1" applyFont="1" applyFill="1" applyBorder="1" applyAlignment="1">
      <alignment horizontal="center"/>
    </xf>
    <xf numFmtId="10" fontId="23" fillId="8" borderId="32" xfId="26" applyNumberFormat="1" applyFont="1" applyFill="1" applyBorder="1" applyAlignment="1">
      <alignment horizontal="center"/>
    </xf>
    <xf numFmtId="10" fontId="23" fillId="8" borderId="11" xfId="26" applyNumberFormat="1" applyFont="1" applyFill="1" applyBorder="1" applyAlignment="1">
      <alignment horizontal="center"/>
    </xf>
    <xf numFmtId="10" fontId="23" fillId="8" borderId="54" xfId="26" applyNumberFormat="1" applyFont="1" applyFill="1" applyBorder="1" applyAlignment="1">
      <alignment horizontal="center"/>
    </xf>
    <xf numFmtId="10" fontId="23" fillId="8" borderId="31" xfId="26" applyNumberFormat="1" applyFont="1" applyFill="1" applyBorder="1" applyAlignment="1">
      <alignment horizontal="center"/>
    </xf>
    <xf numFmtId="0" fontId="46" fillId="2" borderId="33" xfId="13" applyFont="1" applyFill="1" applyBorder="1" applyAlignment="1">
      <alignment horizontal="center"/>
    </xf>
    <xf numFmtId="10" fontId="23" fillId="2" borderId="33" xfId="26" applyNumberFormat="1" applyFont="1" applyFill="1" applyBorder="1" applyAlignment="1">
      <alignment horizontal="center"/>
    </xf>
    <xf numFmtId="10" fontId="23" fillId="2" borderId="33" xfId="13" applyNumberFormat="1" applyFont="1" applyFill="1" applyBorder="1" applyAlignment="1">
      <alignment horizontal="center"/>
    </xf>
    <xf numFmtId="10" fontId="23" fillId="8" borderId="0" xfId="26" applyNumberFormat="1" applyFont="1" applyFill="1" applyAlignment="1">
      <alignment horizontal="center"/>
    </xf>
    <xf numFmtId="10" fontId="9" fillId="8" borderId="0" xfId="13" applyNumberFormat="1" applyFont="1" applyFill="1"/>
    <xf numFmtId="0" fontId="0" fillId="0" borderId="25" xfId="13" applyFont="1" applyBorder="1" applyAlignment="1">
      <alignment horizontal="left"/>
    </xf>
    <xf numFmtId="0" fontId="5" fillId="4" borderId="33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167" fontId="22" fillId="0" borderId="26" xfId="13" applyNumberFormat="1" applyFont="1" applyFill="1" applyBorder="1" applyAlignment="1">
      <alignment horizontal="center"/>
    </xf>
    <xf numFmtId="167" fontId="22" fillId="0" borderId="28" xfId="13" applyNumberFormat="1" applyFont="1" applyFill="1" applyBorder="1" applyAlignment="1">
      <alignment horizontal="center"/>
    </xf>
    <xf numFmtId="9" fontId="34" fillId="14" borderId="65" xfId="26" applyFont="1" applyFill="1" applyBorder="1" applyAlignment="1">
      <alignment horizontal="center"/>
    </xf>
    <xf numFmtId="9" fontId="48" fillId="8" borderId="0" xfId="26" applyFont="1" applyFill="1" applyAlignment="1">
      <alignment horizontal="center"/>
    </xf>
    <xf numFmtId="0" fontId="0" fillId="0" borderId="47" xfId="13" applyFont="1" applyBorder="1" applyAlignment="1">
      <alignment horizontal="left"/>
    </xf>
    <xf numFmtId="168" fontId="22" fillId="8" borderId="3" xfId="5" applyNumberFormat="1" applyFont="1" applyFill="1" applyBorder="1" applyAlignment="1">
      <alignment horizontal="center"/>
    </xf>
    <xf numFmtId="168" fontId="22" fillId="8" borderId="32" xfId="5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7" xfId="5" applyNumberFormat="1" applyFont="1" applyFill="1" applyBorder="1" applyAlignment="1">
      <alignment horizontal="center"/>
    </xf>
    <xf numFmtId="0" fontId="2" fillId="0" borderId="6" xfId="5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67" fontId="5" fillId="0" borderId="14" xfId="0" applyNumberFormat="1" applyFont="1" applyFill="1" applyBorder="1" applyAlignment="1">
      <alignment horizontal="center"/>
    </xf>
    <xf numFmtId="14" fontId="6" fillId="2" borderId="21" xfId="0" applyNumberFormat="1" applyFont="1" applyFill="1" applyBorder="1" applyAlignment="1">
      <alignment horizontal="center"/>
    </xf>
    <xf numFmtId="167" fontId="4" fillId="2" borderId="2" xfId="0" applyNumberFormat="1" applyFont="1" applyFill="1" applyBorder="1" applyAlignment="1">
      <alignment horizontal="center"/>
    </xf>
    <xf numFmtId="167" fontId="4" fillId="3" borderId="21" xfId="0" applyNumberFormat="1" applyFont="1" applyFill="1" applyBorder="1" applyAlignment="1">
      <alignment horizontal="center"/>
    </xf>
    <xf numFmtId="167" fontId="4" fillId="3" borderId="2" xfId="0" applyNumberFormat="1" applyFont="1" applyFill="1" applyBorder="1" applyAlignment="1">
      <alignment horizontal="center"/>
    </xf>
    <xf numFmtId="167" fontId="4" fillId="4" borderId="21" xfId="0" applyNumberFormat="1" applyFont="1" applyFill="1" applyBorder="1" applyAlignment="1">
      <alignment horizontal="center"/>
    </xf>
    <xf numFmtId="167" fontId="4" fillId="4" borderId="2" xfId="0" applyNumberFormat="1" applyFont="1" applyFill="1" applyBorder="1" applyAlignment="1">
      <alignment horizontal="center"/>
    </xf>
    <xf numFmtId="167" fontId="4" fillId="2" borderId="21" xfId="0" applyNumberFormat="1" applyFont="1" applyFill="1" applyBorder="1" applyAlignment="1">
      <alignment horizontal="center"/>
    </xf>
    <xf numFmtId="167" fontId="4" fillId="2" borderId="23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23" xfId="0" applyFont="1" applyFill="1" applyBorder="1" applyAlignment="1">
      <alignment horizontal="center"/>
    </xf>
    <xf numFmtId="10" fontId="5" fillId="2" borderId="23" xfId="0" applyNumberFormat="1" applyFont="1" applyFill="1" applyBorder="1" applyAlignment="1">
      <alignment horizontal="center"/>
    </xf>
    <xf numFmtId="169" fontId="5" fillId="2" borderId="2" xfId="0" applyNumberFormat="1" applyFont="1" applyFill="1" applyBorder="1" applyAlignment="1">
      <alignment horizontal="center"/>
    </xf>
    <xf numFmtId="0" fontId="5" fillId="0" borderId="25" xfId="0" applyFont="1" applyBorder="1"/>
    <xf numFmtId="0" fontId="5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31" xfId="0" applyBorder="1"/>
    <xf numFmtId="1" fontId="3" fillId="16" borderId="0" xfId="0" applyNumberFormat="1" applyFont="1" applyFill="1" applyAlignment="1">
      <alignment horizontal="center"/>
    </xf>
    <xf numFmtId="167" fontId="3" fillId="16" borderId="2" xfId="0" applyNumberFormat="1" applyFont="1" applyFill="1" applyBorder="1" applyAlignment="1">
      <alignment horizontal="center"/>
    </xf>
    <xf numFmtId="1" fontId="3" fillId="16" borderId="2" xfId="0" applyNumberFormat="1" applyFont="1" applyFill="1" applyBorder="1" applyAlignment="1">
      <alignment horizontal="center"/>
    </xf>
    <xf numFmtId="0" fontId="0" fillId="0" borderId="51" xfId="13" applyFont="1" applyBorder="1" applyAlignment="1">
      <alignment horizontal="center"/>
    </xf>
    <xf numFmtId="173" fontId="25" fillId="2" borderId="32" xfId="13" applyNumberFormat="1" applyFont="1" applyFill="1" applyBorder="1" applyAlignment="1">
      <alignment horizontal="center"/>
    </xf>
    <xf numFmtId="168" fontId="49" fillId="2" borderId="33" xfId="13" applyNumberFormat="1" applyFont="1" applyFill="1" applyBorder="1"/>
    <xf numFmtId="9" fontId="25" fillId="2" borderId="32" xfId="27" applyNumberFormat="1" applyFont="1" applyFill="1" applyBorder="1" applyAlignment="1">
      <alignment horizontal="center"/>
    </xf>
    <xf numFmtId="0" fontId="50" fillId="0" borderId="0" xfId="25"/>
    <xf numFmtId="0" fontId="5" fillId="0" borderId="32" xfId="25" applyFont="1" applyBorder="1"/>
    <xf numFmtId="2" fontId="5" fillId="0" borderId="32" xfId="25" applyNumberFormat="1" applyFont="1" applyBorder="1"/>
    <xf numFmtId="0" fontId="50" fillId="7" borderId="0" xfId="25" applyFill="1"/>
    <xf numFmtId="2" fontId="50" fillId="7" borderId="0" xfId="25" applyNumberFormat="1" applyFill="1"/>
    <xf numFmtId="0" fontId="50" fillId="3" borderId="0" xfId="25" applyFill="1"/>
    <xf numFmtId="2" fontId="50" fillId="3" borderId="0" xfId="25" applyNumberFormat="1" applyFill="1"/>
    <xf numFmtId="2" fontId="50" fillId="7" borderId="32" xfId="25" applyNumberFormat="1" applyFill="1" applyBorder="1"/>
    <xf numFmtId="0" fontId="50" fillId="7" borderId="32" xfId="25" applyFill="1" applyBorder="1"/>
    <xf numFmtId="2" fontId="50" fillId="3" borderId="32" xfId="25" applyNumberFormat="1" applyFill="1" applyBorder="1"/>
    <xf numFmtId="0" fontId="50" fillId="3" borderId="32" xfId="25" applyFill="1" applyBorder="1"/>
    <xf numFmtId="172" fontId="50" fillId="0" borderId="0" xfId="25" applyNumberFormat="1" applyBorder="1"/>
    <xf numFmtId="2" fontId="50" fillId="0" borderId="0" xfId="25" applyNumberFormat="1" applyBorder="1"/>
    <xf numFmtId="0" fontId="50" fillId="0" borderId="0" xfId="25" applyBorder="1"/>
    <xf numFmtId="0" fontId="5" fillId="0" borderId="0" xfId="25" applyFont="1" applyBorder="1"/>
    <xf numFmtId="167" fontId="5" fillId="0" borderId="2" xfId="25" applyNumberFormat="1" applyFont="1" applyFill="1" applyBorder="1" applyAlignment="1">
      <alignment horizontal="center"/>
    </xf>
    <xf numFmtId="2" fontId="50" fillId="0" borderId="22" xfId="25" applyNumberFormat="1" applyBorder="1"/>
    <xf numFmtId="2" fontId="50" fillId="0" borderId="31" xfId="25" applyNumberFormat="1" applyBorder="1"/>
    <xf numFmtId="0" fontId="50" fillId="0" borderId="31" xfId="25" applyBorder="1"/>
    <xf numFmtId="0" fontId="5" fillId="0" borderId="30" xfId="25" applyFont="1" applyBorder="1"/>
    <xf numFmtId="0" fontId="5" fillId="0" borderId="29" xfId="25" applyFont="1" applyBorder="1"/>
    <xf numFmtId="0" fontId="50" fillId="0" borderId="17" xfId="25" applyBorder="1"/>
    <xf numFmtId="0" fontId="50" fillId="0" borderId="28" xfId="25" applyBorder="1"/>
    <xf numFmtId="0" fontId="50" fillId="0" borderId="27" xfId="25" applyBorder="1"/>
    <xf numFmtId="0" fontId="5" fillId="0" borderId="26" xfId="25" applyFont="1" applyBorder="1"/>
    <xf numFmtId="0" fontId="5" fillId="0" borderId="25" xfId="25" applyFont="1" applyBorder="1"/>
    <xf numFmtId="0" fontId="5" fillId="0" borderId="0" xfId="25" applyFont="1" applyAlignment="1">
      <alignment horizontal="center"/>
    </xf>
    <xf numFmtId="0" fontId="3" fillId="4" borderId="0" xfId="25" applyFont="1" applyFill="1" applyBorder="1" applyAlignment="1">
      <alignment horizontal="center"/>
    </xf>
    <xf numFmtId="0" fontId="3" fillId="4" borderId="15" xfId="25" applyFont="1" applyFill="1" applyBorder="1" applyAlignment="1">
      <alignment horizontal="center"/>
    </xf>
    <xf numFmtId="0" fontId="3" fillId="4" borderId="24" xfId="25" applyFont="1" applyFill="1" applyBorder="1" applyAlignment="1">
      <alignment horizontal="center"/>
    </xf>
    <xf numFmtId="169" fontId="5" fillId="2" borderId="2" xfId="25" applyNumberFormat="1" applyFont="1" applyFill="1" applyBorder="1" applyAlignment="1">
      <alignment horizontal="center"/>
    </xf>
    <xf numFmtId="169" fontId="5" fillId="2" borderId="23" xfId="25" applyNumberFormat="1" applyFont="1" applyFill="1" applyBorder="1" applyAlignment="1">
      <alignment horizontal="center"/>
    </xf>
    <xf numFmtId="0" fontId="5" fillId="2" borderId="23" xfId="25" applyFont="1" applyFill="1" applyBorder="1"/>
    <xf numFmtId="0" fontId="5" fillId="2" borderId="21" xfId="25" applyFont="1" applyFill="1" applyBorder="1"/>
    <xf numFmtId="10" fontId="5" fillId="2" borderId="2" xfId="25" applyNumberFormat="1" applyFont="1" applyFill="1" applyBorder="1" applyAlignment="1">
      <alignment horizontal="center"/>
    </xf>
    <xf numFmtId="10" fontId="5" fillId="2" borderId="23" xfId="25" applyNumberFormat="1" applyFont="1" applyFill="1" applyBorder="1" applyAlignment="1">
      <alignment horizontal="center"/>
    </xf>
    <xf numFmtId="0" fontId="5" fillId="2" borderId="23" xfId="25" applyFont="1" applyFill="1" applyBorder="1" applyAlignment="1">
      <alignment horizontal="center"/>
    </xf>
    <xf numFmtId="0" fontId="5" fillId="2" borderId="21" xfId="25" applyFont="1" applyFill="1" applyBorder="1" applyAlignment="1">
      <alignment horizontal="center"/>
    </xf>
    <xf numFmtId="2" fontId="50" fillId="0" borderId="0" xfId="25" applyNumberFormat="1" applyAlignment="1">
      <alignment horizontal="center"/>
    </xf>
    <xf numFmtId="167" fontId="4" fillId="2" borderId="2" xfId="25" applyNumberFormat="1" applyFont="1" applyFill="1" applyBorder="1" applyAlignment="1">
      <alignment horizontal="center"/>
    </xf>
    <xf numFmtId="167" fontId="4" fillId="3" borderId="2" xfId="25" applyNumberFormat="1" applyFont="1" applyFill="1" applyBorder="1" applyAlignment="1">
      <alignment horizontal="center"/>
    </xf>
    <xf numFmtId="167" fontId="4" fillId="3" borderId="33" xfId="25" applyNumberFormat="1" applyFont="1" applyFill="1" applyBorder="1" applyAlignment="1">
      <alignment horizontal="center"/>
    </xf>
    <xf numFmtId="167" fontId="4" fillId="3" borderId="23" xfId="25" applyNumberFormat="1" applyFont="1" applyFill="1" applyBorder="1" applyAlignment="1">
      <alignment horizontal="center"/>
    </xf>
    <xf numFmtId="167" fontId="4" fillId="3" borderId="21" xfId="25" applyNumberFormat="1" applyFont="1" applyFill="1" applyBorder="1" applyAlignment="1">
      <alignment horizontal="center"/>
    </xf>
    <xf numFmtId="167" fontId="4" fillId="2" borderId="23" xfId="25" applyNumberFormat="1" applyFont="1" applyFill="1" applyBorder="1" applyAlignment="1">
      <alignment horizontal="center"/>
    </xf>
    <xf numFmtId="167" fontId="4" fillId="4" borderId="2" xfId="25" applyNumberFormat="1" applyFont="1" applyFill="1" applyBorder="1" applyAlignment="1">
      <alignment horizontal="center"/>
    </xf>
    <xf numFmtId="167" fontId="4" fillId="4" borderId="21" xfId="25" applyNumberFormat="1" applyFont="1" applyFill="1" applyBorder="1" applyAlignment="1">
      <alignment horizontal="center"/>
    </xf>
    <xf numFmtId="167" fontId="4" fillId="2" borderId="21" xfId="25" applyNumberFormat="1" applyFont="1" applyFill="1" applyBorder="1" applyAlignment="1">
      <alignment horizontal="center"/>
    </xf>
    <xf numFmtId="14" fontId="6" fillId="2" borderId="21" xfId="25" applyNumberFormat="1" applyFont="1" applyFill="1" applyBorder="1" applyAlignment="1">
      <alignment horizontal="center"/>
    </xf>
    <xf numFmtId="14" fontId="5" fillId="2" borderId="13" xfId="25" applyNumberFormat="1" applyFont="1" applyFill="1" applyBorder="1" applyAlignment="1">
      <alignment horizontal="center"/>
    </xf>
    <xf numFmtId="167" fontId="5" fillId="0" borderId="12" xfId="25" applyNumberFormat="1" applyFont="1" applyFill="1" applyBorder="1" applyAlignment="1">
      <alignment horizontal="center"/>
    </xf>
    <xf numFmtId="2" fontId="5" fillId="0" borderId="10" xfId="25" applyNumberFormat="1" applyFont="1" applyFill="1" applyBorder="1" applyAlignment="1">
      <alignment horizontal="center"/>
    </xf>
    <xf numFmtId="2" fontId="5" fillId="0" borderId="9" xfId="25" applyNumberFormat="1" applyFont="1" applyFill="1" applyBorder="1" applyAlignment="1">
      <alignment horizontal="center"/>
    </xf>
    <xf numFmtId="2" fontId="5" fillId="0" borderId="22" xfId="25" applyNumberFormat="1" applyFont="1" applyFill="1" applyBorder="1" applyAlignment="1">
      <alignment horizontal="center"/>
    </xf>
    <xf numFmtId="2" fontId="2" fillId="0" borderId="13" xfId="25" applyNumberFormat="1" applyFont="1" applyFill="1" applyBorder="1" applyAlignment="1">
      <alignment horizontal="center"/>
    </xf>
    <xf numFmtId="2" fontId="5" fillId="0" borderId="14" xfId="25" applyNumberFormat="1" applyFont="1" applyFill="1" applyBorder="1" applyAlignment="1">
      <alignment horizontal="center"/>
    </xf>
    <xf numFmtId="2" fontId="5" fillId="0" borderId="12" xfId="25" applyNumberFormat="1" applyFont="1" applyFill="1" applyBorder="1" applyAlignment="1">
      <alignment horizontal="center"/>
    </xf>
    <xf numFmtId="2" fontId="2" fillId="0" borderId="8" xfId="25" applyNumberFormat="1" applyFont="1" applyFill="1" applyBorder="1" applyAlignment="1">
      <alignment horizontal="center"/>
    </xf>
    <xf numFmtId="14" fontId="2" fillId="0" borderId="8" xfId="25" applyNumberFormat="1" applyFont="1" applyFill="1" applyBorder="1" applyAlignment="1">
      <alignment horizontal="center"/>
    </xf>
    <xf numFmtId="0" fontId="2" fillId="0" borderId="4" xfId="25" applyNumberFormat="1" applyFont="1" applyFill="1" applyBorder="1" applyAlignment="1">
      <alignment horizontal="center"/>
    </xf>
    <xf numFmtId="0" fontId="2" fillId="0" borderId="3" xfId="25" applyNumberFormat="1" applyFont="1" applyFill="1" applyBorder="1" applyAlignment="1">
      <alignment horizontal="center"/>
    </xf>
    <xf numFmtId="0" fontId="2" fillId="0" borderId="1" xfId="25" applyNumberFormat="1" applyFont="1" applyFill="1" applyBorder="1" applyAlignment="1">
      <alignment horizontal="center"/>
    </xf>
    <xf numFmtId="0" fontId="2" fillId="2" borderId="4" xfId="25" applyNumberFormat="1" applyFont="1" applyFill="1" applyBorder="1" applyAlignment="1">
      <alignment horizontal="center"/>
    </xf>
    <xf numFmtId="0" fontId="2" fillId="2" borderId="3" xfId="25" applyNumberFormat="1" applyFont="1" applyFill="1" applyBorder="1" applyAlignment="1">
      <alignment horizontal="center"/>
    </xf>
    <xf numFmtId="0" fontId="2" fillId="0" borderId="6" xfId="25" applyNumberFormat="1" applyFont="1" applyFill="1" applyBorder="1" applyAlignment="1">
      <alignment horizontal="center"/>
    </xf>
    <xf numFmtId="14" fontId="2" fillId="0" borderId="5" xfId="25" applyNumberFormat="1" applyFont="1" applyFill="1" applyBorder="1" applyAlignment="1">
      <alignment horizontal="center"/>
    </xf>
    <xf numFmtId="0" fontId="50" fillId="5" borderId="0" xfId="25" applyFill="1"/>
    <xf numFmtId="167" fontId="5" fillId="5" borderId="2" xfId="25" applyNumberFormat="1" applyFont="1" applyFill="1" applyBorder="1" applyAlignment="1">
      <alignment horizontal="center"/>
    </xf>
    <xf numFmtId="0" fontId="2" fillId="5" borderId="4" xfId="25" applyNumberFormat="1" applyFont="1" applyFill="1" applyBorder="1" applyAlignment="1">
      <alignment horizontal="center"/>
    </xf>
    <xf numFmtId="0" fontId="2" fillId="5" borderId="3" xfId="25" applyNumberFormat="1" applyFont="1" applyFill="1" applyBorder="1" applyAlignment="1">
      <alignment horizontal="center"/>
    </xf>
    <xf numFmtId="0" fontId="2" fillId="5" borderId="1" xfId="25" applyNumberFormat="1" applyFont="1" applyFill="1" applyBorder="1" applyAlignment="1">
      <alignment horizontal="center"/>
    </xf>
    <xf numFmtId="0" fontId="2" fillId="5" borderId="6" xfId="25" applyNumberFormat="1" applyFont="1" applyFill="1" applyBorder="1" applyAlignment="1">
      <alignment horizontal="center"/>
    </xf>
    <xf numFmtId="14" fontId="2" fillId="5" borderId="5" xfId="25" applyNumberFormat="1" applyFont="1" applyFill="1" applyBorder="1" applyAlignment="1">
      <alignment horizontal="center"/>
    </xf>
    <xf numFmtId="0" fontId="2" fillId="5" borderId="66" xfId="25" applyNumberFormat="1" applyFont="1" applyFill="1" applyBorder="1" applyAlignment="1">
      <alignment horizontal="center"/>
    </xf>
    <xf numFmtId="0" fontId="2" fillId="0" borderId="39" xfId="25" applyNumberFormat="1" applyFont="1" applyFill="1" applyBorder="1" applyAlignment="1">
      <alignment horizontal="center"/>
    </xf>
    <xf numFmtId="0" fontId="2" fillId="0" borderId="9" xfId="25" applyNumberFormat="1" applyFont="1" applyFill="1" applyBorder="1" applyAlignment="1">
      <alignment horizontal="center"/>
    </xf>
    <xf numFmtId="0" fontId="2" fillId="5" borderId="8" xfId="25" applyNumberFormat="1" applyFont="1" applyFill="1" applyBorder="1" applyAlignment="1">
      <alignment horizontal="center"/>
    </xf>
    <xf numFmtId="0" fontId="2" fillId="2" borderId="6" xfId="25" applyNumberFormat="1" applyFont="1" applyFill="1" applyBorder="1" applyAlignment="1">
      <alignment horizontal="center"/>
    </xf>
    <xf numFmtId="0" fontId="2" fillId="0" borderId="3" xfId="9" applyNumberFormat="1" applyFont="1" applyFill="1" applyBorder="1" applyAlignment="1">
      <alignment horizontal="center"/>
    </xf>
    <xf numFmtId="0" fontId="2" fillId="0" borderId="4" xfId="9" applyNumberFormat="1" applyFont="1" applyFill="1" applyBorder="1" applyAlignment="1">
      <alignment horizontal="center"/>
    </xf>
    <xf numFmtId="0" fontId="2" fillId="0" borderId="44" xfId="9" applyNumberFormat="1" applyFont="1" applyFill="1" applyBorder="1" applyAlignment="1">
      <alignment horizontal="center"/>
    </xf>
    <xf numFmtId="0" fontId="2" fillId="0" borderId="6" xfId="9" applyNumberFormat="1" applyFont="1" applyFill="1" applyBorder="1" applyAlignment="1">
      <alignment horizontal="center"/>
    </xf>
    <xf numFmtId="0" fontId="2" fillId="0" borderId="7" xfId="9" applyNumberFormat="1" applyFont="1" applyFill="1" applyBorder="1" applyAlignment="1">
      <alignment horizontal="center"/>
    </xf>
    <xf numFmtId="0" fontId="2" fillId="0" borderId="7" xfId="25" applyNumberFormat="1" applyFont="1" applyFill="1" applyBorder="1" applyAlignment="1">
      <alignment horizontal="center"/>
    </xf>
    <xf numFmtId="0" fontId="4" fillId="2" borderId="2" xfId="25" applyFont="1" applyFill="1" applyBorder="1" applyAlignment="1">
      <alignment horizontal="center"/>
    </xf>
    <xf numFmtId="0" fontId="3" fillId="3" borderId="37" xfId="25" applyFont="1" applyFill="1" applyBorder="1" applyAlignment="1">
      <alignment horizontal="center"/>
    </xf>
    <xf numFmtId="0" fontId="3" fillId="3" borderId="25" xfId="25" applyFont="1" applyFill="1" applyBorder="1" applyAlignment="1">
      <alignment horizontal="center"/>
    </xf>
    <xf numFmtId="0" fontId="3" fillId="3" borderId="1" xfId="25" applyFont="1" applyFill="1" applyBorder="1" applyAlignment="1">
      <alignment horizontal="center"/>
    </xf>
    <xf numFmtId="0" fontId="3" fillId="3" borderId="3" xfId="25" applyFont="1" applyFill="1" applyBorder="1" applyAlignment="1">
      <alignment horizontal="center"/>
    </xf>
    <xf numFmtId="0" fontId="3" fillId="4" borderId="4" xfId="25" applyFont="1" applyFill="1" applyBorder="1" applyAlignment="1">
      <alignment horizontal="center"/>
    </xf>
    <xf numFmtId="0" fontId="3" fillId="4" borderId="3" xfId="25" applyFont="1" applyFill="1" applyBorder="1" applyAlignment="1">
      <alignment horizontal="center"/>
    </xf>
    <xf numFmtId="0" fontId="3" fillId="3" borderId="4" xfId="25" applyFont="1" applyFill="1" applyBorder="1" applyAlignment="1">
      <alignment horizontal="center"/>
    </xf>
    <xf numFmtId="0" fontId="3" fillId="0" borderId="1" xfId="25" applyFont="1" applyFill="1" applyBorder="1" applyAlignment="1">
      <alignment horizontal="center"/>
    </xf>
    <xf numFmtId="0" fontId="50" fillId="0" borderId="0" xfId="25" applyAlignment="1">
      <alignment horizontal="center"/>
    </xf>
    <xf numFmtId="9" fontId="51" fillId="13" borderId="4" xfId="26" applyFont="1" applyFill="1" applyBorder="1" applyAlignment="1">
      <alignment horizontal="center" vertical="center"/>
    </xf>
    <xf numFmtId="168" fontId="22" fillId="8" borderId="9" xfId="5" applyNumberFormat="1" applyFont="1" applyFill="1" applyBorder="1" applyAlignment="1">
      <alignment horizontal="center"/>
    </xf>
    <xf numFmtId="168" fontId="22" fillId="8" borderId="50" xfId="5" applyNumberFormat="1" applyFont="1" applyFill="1" applyBorder="1" applyAlignment="1">
      <alignment horizontal="center"/>
    </xf>
    <xf numFmtId="168" fontId="22" fillId="0" borderId="39" xfId="5" applyNumberFormat="1" applyFont="1" applyFill="1" applyBorder="1" applyAlignment="1">
      <alignment horizontal="center"/>
    </xf>
    <xf numFmtId="0" fontId="20" fillId="15" borderId="0" xfId="13" applyFont="1" applyFill="1" applyBorder="1"/>
    <xf numFmtId="0" fontId="9" fillId="15" borderId="0" xfId="13" applyFont="1" applyFill="1" applyBorder="1"/>
    <xf numFmtId="0" fontId="9" fillId="15" borderId="0" xfId="13" applyFont="1" applyFill="1" applyBorder="1" applyAlignment="1">
      <alignment horizontal="left" vertical="top" wrapText="1" indent="3"/>
    </xf>
    <xf numFmtId="0" fontId="9" fillId="15" borderId="0" xfId="13" applyFont="1" applyFill="1" applyBorder="1" applyAlignment="1">
      <alignment vertical="top" wrapText="1"/>
    </xf>
    <xf numFmtId="0" fontId="9" fillId="15" borderId="0" xfId="13" applyFont="1" applyFill="1" applyBorder="1" applyAlignment="1">
      <alignment horizontal="center" vertical="top" wrapText="1"/>
    </xf>
    <xf numFmtId="0" fontId="9" fillId="15" borderId="0" xfId="13" applyFont="1" applyFill="1"/>
    <xf numFmtId="9" fontId="9" fillId="0" borderId="0" xfId="13" applyNumberFormat="1" applyFont="1" applyFill="1"/>
    <xf numFmtId="0" fontId="20" fillId="8" borderId="0" xfId="13" applyFont="1" applyFill="1" applyAlignment="1">
      <alignment horizontal="center"/>
    </xf>
    <xf numFmtId="10" fontId="20" fillId="8" borderId="0" xfId="26" applyNumberFormat="1" applyFont="1" applyFill="1" applyAlignment="1">
      <alignment horizontal="center"/>
    </xf>
    <xf numFmtId="0" fontId="20" fillId="2" borderId="0" xfId="13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44" xfId="5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>
      <alignment horizontal="center"/>
    </xf>
    <xf numFmtId="0" fontId="2" fillId="0" borderId="66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8" fontId="5" fillId="0" borderId="31" xfId="0" applyNumberFormat="1" applyFont="1" applyBorder="1" applyAlignment="1">
      <alignment horizontal="center"/>
    </xf>
    <xf numFmtId="1" fontId="43" fillId="5" borderId="33" xfId="0" applyNumberFormat="1" applyFont="1" applyFill="1" applyBorder="1" applyAlignment="1">
      <alignment horizontal="center"/>
    </xf>
    <xf numFmtId="167" fontId="43" fillId="5" borderId="33" xfId="0" applyNumberFormat="1" applyFont="1" applyFill="1" applyBorder="1" applyAlignment="1">
      <alignment horizontal="center"/>
    </xf>
    <xf numFmtId="1" fontId="24" fillId="11" borderId="32" xfId="27" applyNumberFormat="1" applyFont="1" applyFill="1" applyBorder="1" applyAlignment="1">
      <alignment horizontal="center"/>
    </xf>
    <xf numFmtId="0" fontId="5" fillId="0" borderId="69" xfId="0" applyFont="1" applyBorder="1"/>
    <xf numFmtId="0" fontId="5" fillId="0" borderId="70" xfId="0" applyFont="1" applyBorder="1"/>
    <xf numFmtId="0" fontId="5" fillId="0" borderId="7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8" borderId="3" xfId="0" applyNumberFormat="1" applyFont="1" applyFill="1" applyBorder="1" applyAlignment="1">
      <alignment horizontal="center"/>
    </xf>
    <xf numFmtId="0" fontId="2" fillId="8" borderId="4" xfId="0" applyNumberFormat="1" applyFont="1" applyFill="1" applyBorder="1" applyAlignment="1">
      <alignment horizontal="center"/>
    </xf>
    <xf numFmtId="2" fontId="5" fillId="4" borderId="33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0" fontId="5" fillId="8" borderId="0" xfId="0" applyFont="1" applyFill="1" applyBorder="1"/>
    <xf numFmtId="2" fontId="5" fillId="8" borderId="0" xfId="0" applyNumberFormat="1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2" fontId="5" fillId="8" borderId="0" xfId="0" applyNumberFormat="1" applyFont="1" applyFill="1" applyBorder="1"/>
    <xf numFmtId="0" fontId="0" fillId="8" borderId="0" xfId="0" applyFill="1"/>
    <xf numFmtId="0" fontId="52" fillId="5" borderId="8" xfId="0" applyFont="1" applyFill="1" applyBorder="1" applyAlignment="1">
      <alignment horizontal="center"/>
    </xf>
    <xf numFmtId="2" fontId="5" fillId="4" borderId="13" xfId="0" applyNumberFormat="1" applyFont="1" applyFill="1" applyBorder="1"/>
    <xf numFmtId="0" fontId="0" fillId="6" borderId="21" xfId="0" applyFill="1" applyBorder="1"/>
    <xf numFmtId="167" fontId="4" fillId="3" borderId="17" xfId="0" applyNumberFormat="1" applyFont="1" applyFill="1" applyBorder="1" applyAlignment="1">
      <alignment horizontal="center"/>
    </xf>
    <xf numFmtId="167" fontId="4" fillId="3" borderId="24" xfId="0" applyNumberFormat="1" applyFont="1" applyFill="1" applyBorder="1" applyAlignment="1">
      <alignment horizontal="center"/>
    </xf>
    <xf numFmtId="1" fontId="5" fillId="6" borderId="18" xfId="0" applyNumberFormat="1" applyFont="1" applyFill="1" applyBorder="1" applyAlignment="1">
      <alignment horizontal="center"/>
    </xf>
    <xf numFmtId="1" fontId="5" fillId="6" borderId="19" xfId="0" applyNumberFormat="1" applyFont="1" applyFill="1" applyBorder="1" applyAlignment="1">
      <alignment horizontal="center"/>
    </xf>
    <xf numFmtId="1" fontId="5" fillId="6" borderId="20" xfId="0" applyNumberFormat="1" applyFont="1" applyFill="1" applyBorder="1" applyAlignment="1">
      <alignment horizontal="center"/>
    </xf>
    <xf numFmtId="0" fontId="5" fillId="3" borderId="72" xfId="0" applyFont="1" applyFill="1" applyBorder="1"/>
    <xf numFmtId="0" fontId="5" fillId="3" borderId="32" xfId="0" applyFont="1" applyFill="1" applyBorder="1"/>
    <xf numFmtId="0" fontId="5" fillId="3" borderId="0" xfId="0" applyFont="1" applyFill="1"/>
    <xf numFmtId="168" fontId="5" fillId="3" borderId="32" xfId="0" applyNumberFormat="1" applyFont="1" applyFill="1" applyBorder="1"/>
    <xf numFmtId="168" fontId="5" fillId="3" borderId="0" xfId="0" applyNumberFormat="1" applyFont="1" applyFill="1"/>
    <xf numFmtId="1" fontId="5" fillId="3" borderId="32" xfId="0" applyNumberFormat="1" applyFont="1" applyFill="1" applyBorder="1" applyAlignment="1">
      <alignment horizontal="center"/>
    </xf>
    <xf numFmtId="0" fontId="5" fillId="7" borderId="72" xfId="0" applyFont="1" applyFill="1" applyBorder="1"/>
    <xf numFmtId="0" fontId="5" fillId="7" borderId="32" xfId="0" applyFont="1" applyFill="1" applyBorder="1"/>
    <xf numFmtId="168" fontId="5" fillId="7" borderId="32" xfId="0" applyNumberFormat="1" applyFont="1" applyFill="1" applyBorder="1"/>
    <xf numFmtId="1" fontId="5" fillId="7" borderId="32" xfId="0" applyNumberFormat="1" applyFont="1" applyFill="1" applyBorder="1" applyAlignment="1">
      <alignment horizontal="center"/>
    </xf>
    <xf numFmtId="0" fontId="5" fillId="7" borderId="0" xfId="0" applyFont="1" applyFill="1"/>
    <xf numFmtId="168" fontId="5" fillId="7" borderId="0" xfId="0" applyNumberFormat="1" applyFont="1" applyFill="1"/>
    <xf numFmtId="0" fontId="53" fillId="0" borderId="0" xfId="11"/>
    <xf numFmtId="0" fontId="53" fillId="0" borderId="0" xfId="11" applyAlignment="1">
      <alignment horizontal="center"/>
    </xf>
    <xf numFmtId="0" fontId="3" fillId="0" borderId="1" xfId="11" applyFont="1" applyFill="1" applyBorder="1" applyAlignment="1">
      <alignment horizontal="center"/>
    </xf>
    <xf numFmtId="0" fontId="4" fillId="2" borderId="2" xfId="11" applyFont="1" applyFill="1" applyBorder="1" applyAlignment="1">
      <alignment horizontal="center"/>
    </xf>
    <xf numFmtId="0" fontId="3" fillId="3" borderId="3" xfId="11" applyFont="1" applyFill="1" applyBorder="1" applyAlignment="1">
      <alignment horizontal="center"/>
    </xf>
    <xf numFmtId="0" fontId="3" fillId="3" borderId="4" xfId="11" applyFont="1" applyFill="1" applyBorder="1" applyAlignment="1">
      <alignment horizontal="center"/>
    </xf>
    <xf numFmtId="0" fontId="3" fillId="4" borderId="3" xfId="11" applyFont="1" applyFill="1" applyBorder="1" applyAlignment="1">
      <alignment horizontal="center"/>
    </xf>
    <xf numFmtId="0" fontId="3" fillId="4" borderId="4" xfId="11" applyFont="1" applyFill="1" applyBorder="1" applyAlignment="1">
      <alignment horizontal="center"/>
    </xf>
    <xf numFmtId="0" fontId="3" fillId="3" borderId="1" xfId="11" applyFont="1" applyFill="1" applyBorder="1" applyAlignment="1">
      <alignment horizontal="center"/>
    </xf>
    <xf numFmtId="0" fontId="3" fillId="3" borderId="25" xfId="11" applyFont="1" applyFill="1" applyBorder="1" applyAlignment="1">
      <alignment horizontal="center"/>
    </xf>
    <xf numFmtId="0" fontId="3" fillId="3" borderId="37" xfId="11" applyFont="1" applyFill="1" applyBorder="1" applyAlignment="1">
      <alignment horizontal="center"/>
    </xf>
    <xf numFmtId="14" fontId="2" fillId="5" borderId="5" xfId="11" applyNumberFormat="1" applyFont="1" applyFill="1" applyBorder="1" applyAlignment="1">
      <alignment horizontal="center"/>
    </xf>
    <xf numFmtId="0" fontId="2" fillId="5" borderId="6" xfId="11" applyNumberFormat="1" applyFont="1" applyFill="1" applyBorder="1" applyAlignment="1">
      <alignment horizontal="center"/>
    </xf>
    <xf numFmtId="0" fontId="2" fillId="5" borderId="7" xfId="11" applyNumberFormat="1" applyFont="1" applyFill="1" applyBorder="1" applyAlignment="1">
      <alignment horizontal="center"/>
    </xf>
    <xf numFmtId="0" fontId="2" fillId="5" borderId="7" xfId="10" applyNumberFormat="1" applyFont="1" applyFill="1" applyBorder="1" applyAlignment="1">
      <alignment horizontal="center"/>
    </xf>
    <xf numFmtId="0" fontId="2" fillId="5" borderId="6" xfId="10" applyNumberFormat="1" applyFont="1" applyFill="1" applyBorder="1" applyAlignment="1">
      <alignment horizontal="center"/>
    </xf>
    <xf numFmtId="0" fontId="2" fillId="5" borderId="44" xfId="10" applyNumberFormat="1" applyFont="1" applyFill="1" applyBorder="1" applyAlignment="1">
      <alignment horizontal="center"/>
    </xf>
    <xf numFmtId="0" fontId="2" fillId="5" borderId="3" xfId="10" applyNumberFormat="1" applyFont="1" applyFill="1" applyBorder="1" applyAlignment="1">
      <alignment horizontal="center"/>
    </xf>
    <xf numFmtId="0" fontId="2" fillId="5" borderId="4" xfId="10" applyNumberFormat="1" applyFont="1" applyFill="1" applyBorder="1" applyAlignment="1">
      <alignment horizontal="center"/>
    </xf>
    <xf numFmtId="167" fontId="5" fillId="5" borderId="2" xfId="11" applyNumberFormat="1" applyFont="1" applyFill="1" applyBorder="1" applyAlignment="1">
      <alignment horizontal="center"/>
    </xf>
    <xf numFmtId="0" fontId="53" fillId="5" borderId="0" xfId="11" applyFill="1"/>
    <xf numFmtId="14" fontId="2" fillId="0" borderId="5" xfId="11" applyNumberFormat="1" applyFont="1" applyFill="1" applyBorder="1" applyAlignment="1">
      <alignment horizontal="center"/>
    </xf>
    <xf numFmtId="0" fontId="2" fillId="0" borderId="6" xfId="11" applyNumberFormat="1" applyFont="1" applyFill="1" applyBorder="1" applyAlignment="1">
      <alignment horizontal="center"/>
    </xf>
    <xf numFmtId="0" fontId="2" fillId="0" borderId="4" xfId="11" applyNumberFormat="1" applyFont="1" applyFill="1" applyBorder="1" applyAlignment="1">
      <alignment horizontal="center"/>
    </xf>
    <xf numFmtId="0" fontId="2" fillId="0" borderId="3" xfId="11" applyNumberFormat="1" applyFont="1" applyFill="1" applyBorder="1" applyAlignment="1">
      <alignment horizontal="center"/>
    </xf>
    <xf numFmtId="0" fontId="2" fillId="0" borderId="4" xfId="10" applyNumberFormat="1" applyFont="1" applyFill="1" applyBorder="1" applyAlignment="1">
      <alignment horizontal="center"/>
    </xf>
    <xf numFmtId="0" fontId="2" fillId="0" borderId="3" xfId="10" applyNumberFormat="1" applyFont="1" applyFill="1" applyBorder="1" applyAlignment="1">
      <alignment horizontal="center"/>
    </xf>
    <xf numFmtId="0" fontId="2" fillId="0" borderId="1" xfId="11" applyNumberFormat="1" applyFont="1" applyFill="1" applyBorder="1" applyAlignment="1">
      <alignment horizontal="center"/>
    </xf>
    <xf numFmtId="167" fontId="5" fillId="0" borderId="2" xfId="11" applyNumberFormat="1" applyFont="1" applyFill="1" applyBorder="1" applyAlignment="1">
      <alignment horizontal="center"/>
    </xf>
    <xf numFmtId="0" fontId="2" fillId="5" borderId="4" xfId="11" applyNumberFormat="1" applyFont="1" applyFill="1" applyBorder="1" applyAlignment="1">
      <alignment horizontal="center"/>
    </xf>
    <xf numFmtId="0" fontId="2" fillId="5" borderId="3" xfId="11" applyNumberFormat="1" applyFont="1" applyFill="1" applyBorder="1" applyAlignment="1">
      <alignment horizontal="center"/>
    </xf>
    <xf numFmtId="0" fontId="2" fillId="5" borderId="1" xfId="11" applyNumberFormat="1" applyFont="1" applyFill="1" applyBorder="1" applyAlignment="1">
      <alignment horizontal="center"/>
    </xf>
    <xf numFmtId="0" fontId="2" fillId="0" borderId="8" xfId="11" applyNumberFormat="1" applyFont="1" applyFill="1" applyBorder="1" applyAlignment="1">
      <alignment horizontal="center"/>
    </xf>
    <xf numFmtId="0" fontId="2" fillId="0" borderId="9" xfId="11" applyNumberFormat="1" applyFont="1" applyFill="1" applyBorder="1" applyAlignment="1">
      <alignment horizontal="center"/>
    </xf>
    <xf numFmtId="0" fontId="2" fillId="0" borderId="39" xfId="11" applyNumberFormat="1" applyFont="1" applyFill="1" applyBorder="1" applyAlignment="1">
      <alignment horizontal="center"/>
    </xf>
    <xf numFmtId="0" fontId="2" fillId="2" borderId="6" xfId="11" applyNumberFormat="1" applyFont="1" applyFill="1" applyBorder="1" applyAlignment="1">
      <alignment horizontal="center"/>
    </xf>
    <xf numFmtId="0" fontId="2" fillId="2" borderId="4" xfId="11" applyNumberFormat="1" applyFont="1" applyFill="1" applyBorder="1" applyAlignment="1">
      <alignment horizontal="center"/>
    </xf>
    <xf numFmtId="0" fontId="2" fillId="0" borderId="66" xfId="11" applyNumberFormat="1" applyFont="1" applyFill="1" applyBorder="1" applyAlignment="1">
      <alignment horizontal="center"/>
    </xf>
    <xf numFmtId="0" fontId="2" fillId="2" borderId="3" xfId="11" applyNumberFormat="1" applyFont="1" applyFill="1" applyBorder="1" applyAlignment="1">
      <alignment horizontal="center"/>
    </xf>
    <xf numFmtId="0" fontId="2" fillId="2" borderId="1" xfId="11" applyNumberFormat="1" applyFont="1" applyFill="1" applyBorder="1" applyAlignment="1">
      <alignment horizontal="center"/>
    </xf>
    <xf numFmtId="14" fontId="2" fillId="0" borderId="8" xfId="11" applyNumberFormat="1" applyFont="1" applyFill="1" applyBorder="1" applyAlignment="1">
      <alignment horizontal="center"/>
    </xf>
    <xf numFmtId="2" fontId="2" fillId="0" borderId="8" xfId="11" applyNumberFormat="1" applyFont="1" applyFill="1" applyBorder="1" applyAlignment="1">
      <alignment horizontal="center"/>
    </xf>
    <xf numFmtId="2" fontId="5" fillId="0" borderId="12" xfId="11" applyNumberFormat="1" applyFont="1" applyFill="1" applyBorder="1" applyAlignment="1">
      <alignment horizontal="center"/>
    </xf>
    <xf numFmtId="2" fontId="2" fillId="0" borderId="13" xfId="11" applyNumberFormat="1" applyFont="1" applyFill="1" applyBorder="1" applyAlignment="1">
      <alignment horizontal="center"/>
    </xf>
    <xf numFmtId="2" fontId="5" fillId="0" borderId="14" xfId="11" applyNumberFormat="1" applyFont="1" applyFill="1" applyBorder="1" applyAlignment="1">
      <alignment horizontal="center"/>
    </xf>
    <xf numFmtId="2" fontId="5" fillId="0" borderId="22" xfId="11" applyNumberFormat="1" applyFont="1" applyFill="1" applyBorder="1" applyAlignment="1">
      <alignment horizontal="center"/>
    </xf>
    <xf numFmtId="2" fontId="5" fillId="0" borderId="9" xfId="11" applyNumberFormat="1" applyFont="1" applyFill="1" applyBorder="1" applyAlignment="1">
      <alignment horizontal="center"/>
    </xf>
    <xf numFmtId="2" fontId="5" fillId="0" borderId="10" xfId="11" applyNumberFormat="1" applyFont="1" applyFill="1" applyBorder="1" applyAlignment="1">
      <alignment horizontal="center"/>
    </xf>
    <xf numFmtId="167" fontId="5" fillId="0" borderId="12" xfId="11" applyNumberFormat="1" applyFont="1" applyFill="1" applyBorder="1" applyAlignment="1">
      <alignment horizontal="center"/>
    </xf>
    <xf numFmtId="14" fontId="5" fillId="2" borderId="13" xfId="11" applyNumberFormat="1" applyFont="1" applyFill="1" applyBorder="1" applyAlignment="1">
      <alignment horizontal="center"/>
    </xf>
    <xf numFmtId="14" fontId="6" fillId="2" borderId="21" xfId="11" applyNumberFormat="1" applyFont="1" applyFill="1" applyBorder="1" applyAlignment="1">
      <alignment horizontal="center"/>
    </xf>
    <xf numFmtId="167" fontId="4" fillId="2" borderId="2" xfId="11" applyNumberFormat="1" applyFont="1" applyFill="1" applyBorder="1" applyAlignment="1">
      <alignment horizontal="center"/>
    </xf>
    <xf numFmtId="167" fontId="4" fillId="3" borderId="21" xfId="11" applyNumberFormat="1" applyFont="1" applyFill="1" applyBorder="1" applyAlignment="1">
      <alignment horizontal="center"/>
    </xf>
    <xf numFmtId="167" fontId="4" fillId="3" borderId="2" xfId="11" applyNumberFormat="1" applyFont="1" applyFill="1" applyBorder="1" applyAlignment="1">
      <alignment horizontal="center"/>
    </xf>
    <xf numFmtId="167" fontId="4" fillId="4" borderId="21" xfId="11" applyNumberFormat="1" applyFont="1" applyFill="1" applyBorder="1" applyAlignment="1">
      <alignment horizontal="center"/>
    </xf>
    <xf numFmtId="167" fontId="4" fillId="4" borderId="2" xfId="11" applyNumberFormat="1" applyFont="1" applyFill="1" applyBorder="1" applyAlignment="1">
      <alignment horizontal="center"/>
    </xf>
    <xf numFmtId="167" fontId="4" fillId="2" borderId="21" xfId="11" applyNumberFormat="1" applyFont="1" applyFill="1" applyBorder="1" applyAlignment="1">
      <alignment horizontal="center"/>
    </xf>
    <xf numFmtId="167" fontId="4" fillId="2" borderId="23" xfId="11" applyNumberFormat="1" applyFont="1" applyFill="1" applyBorder="1" applyAlignment="1">
      <alignment horizontal="center"/>
    </xf>
    <xf numFmtId="167" fontId="4" fillId="3" borderId="23" xfId="11" applyNumberFormat="1" applyFont="1" applyFill="1" applyBorder="1" applyAlignment="1">
      <alignment horizontal="center"/>
    </xf>
    <xf numFmtId="167" fontId="4" fillId="3" borderId="33" xfId="11" applyNumberFormat="1" applyFont="1" applyFill="1" applyBorder="1" applyAlignment="1">
      <alignment horizontal="center"/>
    </xf>
    <xf numFmtId="2" fontId="53" fillId="0" borderId="0" xfId="11" applyNumberFormat="1" applyAlignment="1">
      <alignment horizontal="center"/>
    </xf>
    <xf numFmtId="0" fontId="5" fillId="2" borderId="21" xfId="11" applyFont="1" applyFill="1" applyBorder="1" applyAlignment="1">
      <alignment horizontal="center"/>
    </xf>
    <xf numFmtId="0" fontId="5" fillId="2" borderId="23" xfId="11" applyFont="1" applyFill="1" applyBorder="1" applyAlignment="1">
      <alignment horizontal="center"/>
    </xf>
    <xf numFmtId="10" fontId="5" fillId="2" borderId="23" xfId="11" applyNumberFormat="1" applyFont="1" applyFill="1" applyBorder="1" applyAlignment="1">
      <alignment horizontal="center"/>
    </xf>
    <xf numFmtId="10" fontId="5" fillId="2" borderId="2" xfId="11" applyNumberFormat="1" applyFont="1" applyFill="1" applyBorder="1" applyAlignment="1">
      <alignment horizontal="center"/>
    </xf>
    <xf numFmtId="0" fontId="5" fillId="2" borderId="21" xfId="11" applyFont="1" applyFill="1" applyBorder="1"/>
    <xf numFmtId="0" fontId="5" fillId="2" borderId="23" xfId="11" applyFont="1" applyFill="1" applyBorder="1"/>
    <xf numFmtId="169" fontId="5" fillId="2" borderId="23" xfId="11" applyNumberFormat="1" applyFont="1" applyFill="1" applyBorder="1" applyAlignment="1">
      <alignment horizontal="center"/>
    </xf>
    <xf numFmtId="169" fontId="5" fillId="2" borderId="2" xfId="11" applyNumberFormat="1" applyFont="1" applyFill="1" applyBorder="1" applyAlignment="1">
      <alignment horizontal="center"/>
    </xf>
    <xf numFmtId="0" fontId="3" fillId="4" borderId="24" xfId="11" applyFont="1" applyFill="1" applyBorder="1" applyAlignment="1">
      <alignment horizontal="center"/>
    </xf>
    <xf numFmtId="0" fontId="3" fillId="4" borderId="15" xfId="11" applyFont="1" applyFill="1" applyBorder="1" applyAlignment="1">
      <alignment horizontal="center"/>
    </xf>
    <xf numFmtId="0" fontId="3" fillId="4" borderId="0" xfId="11" applyFont="1" applyFill="1" applyBorder="1" applyAlignment="1">
      <alignment horizontal="center"/>
    </xf>
    <xf numFmtId="0" fontId="5" fillId="0" borderId="0" xfId="11" applyFont="1" applyAlignment="1">
      <alignment horizontal="center"/>
    </xf>
    <xf numFmtId="0" fontId="5" fillId="0" borderId="25" xfId="11" applyFont="1" applyBorder="1"/>
    <xf numFmtId="0" fontId="5" fillId="0" borderId="26" xfId="11" applyFont="1" applyBorder="1"/>
    <xf numFmtId="0" fontId="53" fillId="0" borderId="27" xfId="11" applyBorder="1"/>
    <xf numFmtId="0" fontId="53" fillId="0" borderId="28" xfId="11" applyBorder="1"/>
    <xf numFmtId="0" fontId="53" fillId="0" borderId="17" xfId="11" applyBorder="1"/>
    <xf numFmtId="0" fontId="5" fillId="0" borderId="29" xfId="11" applyFont="1" applyBorder="1"/>
    <xf numFmtId="0" fontId="5" fillId="0" borderId="30" xfId="11" applyFont="1" applyBorder="1"/>
    <xf numFmtId="2" fontId="53" fillId="0" borderId="31" xfId="11" applyNumberFormat="1" applyBorder="1"/>
    <xf numFmtId="0" fontId="53" fillId="0" borderId="31" xfId="11" applyBorder="1"/>
    <xf numFmtId="2" fontId="53" fillId="0" borderId="22" xfId="11" applyNumberFormat="1" applyBorder="1"/>
    <xf numFmtId="0" fontId="5" fillId="0" borderId="0" xfId="11" applyFont="1" applyBorder="1"/>
    <xf numFmtId="2" fontId="53" fillId="0" borderId="0" xfId="11" applyNumberFormat="1" applyBorder="1"/>
    <xf numFmtId="0" fontId="53" fillId="0" borderId="0" xfId="11" applyBorder="1"/>
    <xf numFmtId="172" fontId="53" fillId="0" borderId="0" xfId="11" applyNumberFormat="1" applyBorder="1"/>
    <xf numFmtId="0" fontId="53" fillId="3" borderId="32" xfId="11" applyFill="1" applyBorder="1"/>
    <xf numFmtId="0" fontId="53" fillId="7" borderId="32" xfId="11" applyFill="1" applyBorder="1"/>
    <xf numFmtId="0" fontId="5" fillId="0" borderId="32" xfId="11" applyFont="1" applyBorder="1"/>
    <xf numFmtId="2" fontId="53" fillId="3" borderId="32" xfId="11" applyNumberFormat="1" applyFill="1" applyBorder="1"/>
    <xf numFmtId="2" fontId="53" fillId="7" borderId="32" xfId="11" applyNumberFormat="1" applyFill="1" applyBorder="1"/>
    <xf numFmtId="2" fontId="5" fillId="0" borderId="32" xfId="11" applyNumberFormat="1" applyFont="1" applyBorder="1"/>
    <xf numFmtId="0" fontId="53" fillId="3" borderId="0" xfId="11" applyFill="1"/>
    <xf numFmtId="2" fontId="53" fillId="3" borderId="0" xfId="11" applyNumberFormat="1" applyFill="1"/>
    <xf numFmtId="0" fontId="53" fillId="7" borderId="0" xfId="11" applyFill="1"/>
    <xf numFmtId="2" fontId="53" fillId="7" borderId="0" xfId="11" applyNumberFormat="1" applyFill="1"/>
    <xf numFmtId="0" fontId="2" fillId="0" borderId="7" xfId="11" applyNumberFormat="1" applyFont="1" applyFill="1" applyBorder="1" applyAlignment="1">
      <alignment horizontal="center"/>
    </xf>
    <xf numFmtId="0" fontId="2" fillId="0" borderId="7" xfId="10" applyNumberFormat="1" applyFont="1" applyFill="1" applyBorder="1" applyAlignment="1">
      <alignment horizontal="center"/>
    </xf>
    <xf numFmtId="0" fontId="2" fillId="0" borderId="6" xfId="10" applyNumberFormat="1" applyFont="1" applyFill="1" applyBorder="1" applyAlignment="1">
      <alignment horizontal="center"/>
    </xf>
    <xf numFmtId="0" fontId="2" fillId="0" borderId="44" xfId="10" applyNumberFormat="1" applyFont="1" applyFill="1" applyBorder="1" applyAlignment="1">
      <alignment horizontal="center"/>
    </xf>
    <xf numFmtId="0" fontId="2" fillId="5" borderId="9" xfId="11" applyNumberFormat="1" applyFont="1" applyFill="1" applyBorder="1" applyAlignment="1">
      <alignment horizontal="center"/>
    </xf>
    <xf numFmtId="0" fontId="2" fillId="5" borderId="39" xfId="11" applyNumberFormat="1" applyFont="1" applyFill="1" applyBorder="1" applyAlignment="1">
      <alignment horizontal="center"/>
    </xf>
    <xf numFmtId="0" fontId="2" fillId="5" borderId="66" xfId="11" applyNumberFormat="1" applyFont="1" applyFill="1" applyBorder="1" applyAlignment="1">
      <alignment horizontal="center"/>
    </xf>
    <xf numFmtId="0" fontId="5" fillId="0" borderId="0" xfId="11" applyFont="1"/>
    <xf numFmtId="0" fontId="53" fillId="0" borderId="27" xfId="11" applyBorder="1" applyAlignment="1">
      <alignment horizontal="center"/>
    </xf>
    <xf numFmtId="0" fontId="53" fillId="0" borderId="28" xfId="11" applyBorder="1" applyAlignment="1">
      <alignment horizontal="center"/>
    </xf>
    <xf numFmtId="168" fontId="5" fillId="7" borderId="32" xfId="5" applyNumberFormat="1" applyFont="1" applyFill="1" applyBorder="1"/>
    <xf numFmtId="173" fontId="5" fillId="17" borderId="32" xfId="5" applyNumberFormat="1" applyFont="1" applyFill="1" applyBorder="1"/>
    <xf numFmtId="168" fontId="43" fillId="5" borderId="32" xfId="5" applyNumberFormat="1" applyFont="1" applyFill="1" applyBorder="1"/>
    <xf numFmtId="167" fontId="54" fillId="0" borderId="27" xfId="13" applyNumberFormat="1" applyFont="1" applyFill="1" applyBorder="1" applyAlignment="1">
      <alignment horizontal="center"/>
    </xf>
    <xf numFmtId="168" fontId="43" fillId="5" borderId="0" xfId="5" applyNumberFormat="1" applyFont="1" applyFill="1" applyAlignment="1">
      <alignment horizontal="center"/>
    </xf>
    <xf numFmtId="0" fontId="43" fillId="5" borderId="2" xfId="11" applyNumberFormat="1" applyFont="1" applyFill="1" applyBorder="1" applyAlignment="1">
      <alignment horizontal="center"/>
    </xf>
    <xf numFmtId="168" fontId="43" fillId="5" borderId="2" xfId="5" applyNumberFormat="1" applyFont="1" applyFill="1" applyBorder="1" applyAlignment="1">
      <alignment horizontal="center"/>
    </xf>
    <xf numFmtId="0" fontId="3" fillId="6" borderId="57" xfId="13" applyFont="1" applyFill="1" applyBorder="1"/>
    <xf numFmtId="10" fontId="51" fillId="14" borderId="4" xfId="26" applyNumberFormat="1" applyFont="1" applyFill="1" applyBorder="1" applyAlignment="1">
      <alignment horizontal="center" vertical="center"/>
    </xf>
    <xf numFmtId="10" fontId="24" fillId="0" borderId="32" xfId="0" applyNumberFormat="1" applyFont="1" applyFill="1" applyBorder="1" applyAlignment="1">
      <alignment horizontal="center"/>
    </xf>
    <xf numFmtId="10" fontId="22" fillId="0" borderId="32" xfId="26" applyNumberFormat="1" applyFont="1" applyFill="1" applyBorder="1" applyAlignment="1">
      <alignment horizontal="center"/>
    </xf>
    <xf numFmtId="0" fontId="5" fillId="0" borderId="33" xfId="11" applyFont="1" applyBorder="1"/>
    <xf numFmtId="1" fontId="5" fillId="0" borderId="33" xfId="11" applyNumberFormat="1" applyFont="1" applyBorder="1" applyAlignment="1">
      <alignment horizontal="center"/>
    </xf>
    <xf numFmtId="0" fontId="3" fillId="4" borderId="16" xfId="11" applyFont="1" applyFill="1" applyBorder="1" applyAlignment="1">
      <alignment horizontal="center"/>
    </xf>
    <xf numFmtId="0" fontId="53" fillId="0" borderId="26" xfId="11" applyBorder="1" applyAlignment="1">
      <alignment horizontal="center"/>
    </xf>
    <xf numFmtId="168" fontId="5" fillId="0" borderId="30" xfId="5" applyNumberFormat="1" applyFont="1" applyBorder="1"/>
    <xf numFmtId="168" fontId="5" fillId="0" borderId="61" xfId="5" applyNumberFormat="1" applyFont="1" applyBorder="1"/>
    <xf numFmtId="0" fontId="5" fillId="0" borderId="56" xfId="11" applyFont="1" applyBorder="1" applyAlignment="1">
      <alignment horizontal="center"/>
    </xf>
    <xf numFmtId="0" fontId="5" fillId="0" borderId="58" xfId="11" applyFont="1" applyBorder="1" applyAlignment="1">
      <alignment horizontal="center"/>
    </xf>
    <xf numFmtId="0" fontId="5" fillId="0" borderId="61" xfId="11" applyFont="1" applyBorder="1"/>
    <xf numFmtId="1" fontId="5" fillId="0" borderId="55" xfId="11" applyNumberFormat="1" applyFont="1" applyBorder="1" applyAlignment="1">
      <alignment horizontal="center"/>
    </xf>
    <xf numFmtId="1" fontId="5" fillId="0" borderId="19" xfId="11" applyNumberFormat="1" applyFont="1" applyBorder="1" applyAlignment="1">
      <alignment horizontal="center"/>
    </xf>
    <xf numFmtId="1" fontId="5" fillId="0" borderId="43" xfId="11" applyNumberFormat="1" applyFont="1" applyBorder="1" applyAlignment="1">
      <alignment horizontal="center"/>
    </xf>
    <xf numFmtId="168" fontId="43" fillId="5" borderId="2" xfId="5" applyNumberFormat="1" applyFont="1" applyFill="1" applyBorder="1" applyAlignment="1">
      <alignment horizontal="center"/>
    </xf>
    <xf numFmtId="0" fontId="5" fillId="0" borderId="52" xfId="11" applyFont="1" applyBorder="1" applyAlignment="1">
      <alignment horizontal="center"/>
    </xf>
    <xf numFmtId="0" fontId="5" fillId="0" borderId="21" xfId="11" applyFont="1" applyBorder="1" applyAlignment="1">
      <alignment horizontal="center"/>
    </xf>
    <xf numFmtId="2" fontId="5" fillId="0" borderId="33" xfId="11" applyNumberFormat="1" applyFont="1" applyBorder="1" applyAlignment="1">
      <alignment horizontal="center"/>
    </xf>
    <xf numFmtId="0" fontId="5" fillId="18" borderId="33" xfId="11" applyFont="1" applyFill="1" applyBorder="1" applyAlignment="1">
      <alignment horizontal="center"/>
    </xf>
    <xf numFmtId="0" fontId="5" fillId="18" borderId="33" xfId="11" applyFont="1" applyFill="1" applyBorder="1"/>
    <xf numFmtId="2" fontId="5" fillId="18" borderId="33" xfId="11" applyNumberFormat="1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50" fillId="0" borderId="0" xfId="25" applyAlignment="1">
      <alignment horizontal="center"/>
    </xf>
    <xf numFmtId="0" fontId="3" fillId="3" borderId="25" xfId="25" applyFont="1" applyFill="1" applyBorder="1" applyAlignment="1">
      <alignment horizontal="center"/>
    </xf>
    <xf numFmtId="0" fontId="3" fillId="3" borderId="37" xfId="25" applyFont="1" applyFill="1" applyBorder="1" applyAlignment="1">
      <alignment horizontal="center"/>
    </xf>
    <xf numFmtId="0" fontId="3" fillId="4" borderId="25" xfId="25" applyFont="1" applyFill="1" applyBorder="1" applyAlignment="1">
      <alignment horizontal="center"/>
    </xf>
    <xf numFmtId="0" fontId="3" fillId="4" borderId="37" xfId="25" applyFont="1" applyFill="1" applyBorder="1" applyAlignment="1">
      <alignment horizontal="center"/>
    </xf>
    <xf numFmtId="0" fontId="3" fillId="3" borderId="15" xfId="25" applyFont="1" applyFill="1" applyBorder="1" applyAlignment="1">
      <alignment horizontal="center"/>
    </xf>
    <xf numFmtId="0" fontId="3" fillId="3" borderId="16" xfId="25" applyFont="1" applyFill="1" applyBorder="1" applyAlignment="1">
      <alignment horizontal="center"/>
    </xf>
    <xf numFmtId="0" fontId="5" fillId="3" borderId="32" xfId="25" applyFont="1" applyFill="1" applyBorder="1" applyAlignment="1">
      <alignment horizontal="center"/>
    </xf>
    <xf numFmtId="0" fontId="5" fillId="7" borderId="32" xfId="25" applyFont="1" applyFill="1" applyBorder="1" applyAlignment="1">
      <alignment horizontal="center"/>
    </xf>
    <xf numFmtId="0" fontId="5" fillId="0" borderId="32" xfId="25" applyFont="1" applyBorder="1" applyAlignment="1">
      <alignment horizontal="center"/>
    </xf>
    <xf numFmtId="0" fontId="37" fillId="5" borderId="15" xfId="0" applyFont="1" applyFill="1" applyBorder="1" applyAlignment="1">
      <alignment horizontal="center"/>
    </xf>
    <xf numFmtId="0" fontId="37" fillId="5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3" fillId="0" borderId="0" xfId="11" applyAlignment="1">
      <alignment horizontal="center"/>
    </xf>
    <xf numFmtId="0" fontId="3" fillId="3" borderId="25" xfId="11" applyFont="1" applyFill="1" applyBorder="1" applyAlignment="1">
      <alignment horizontal="center"/>
    </xf>
    <xf numFmtId="0" fontId="3" fillId="3" borderId="37" xfId="11" applyFont="1" applyFill="1" applyBorder="1" applyAlignment="1">
      <alignment horizontal="center"/>
    </xf>
    <xf numFmtId="0" fontId="5" fillId="3" borderId="32" xfId="11" applyFont="1" applyFill="1" applyBorder="1" applyAlignment="1">
      <alignment horizontal="center"/>
    </xf>
    <xf numFmtId="0" fontId="5" fillId="7" borderId="32" xfId="11" applyFont="1" applyFill="1" applyBorder="1" applyAlignment="1">
      <alignment horizontal="center"/>
    </xf>
    <xf numFmtId="0" fontId="5" fillId="0" borderId="32" xfId="11" applyFont="1" applyBorder="1" applyAlignment="1">
      <alignment horizontal="center"/>
    </xf>
    <xf numFmtId="0" fontId="23" fillId="8" borderId="0" xfId="13" applyFont="1" applyFill="1" applyAlignment="1">
      <alignment horizontal="center"/>
    </xf>
    <xf numFmtId="171" fontId="23" fillId="8" borderId="24" xfId="13" applyNumberFormat="1" applyFont="1" applyFill="1" applyBorder="1" applyAlignment="1">
      <alignment horizontal="center"/>
    </xf>
    <xf numFmtId="171" fontId="23" fillId="8" borderId="73" xfId="13" applyNumberFormat="1" applyFont="1" applyFill="1" applyBorder="1" applyAlignment="1">
      <alignment horizontal="center"/>
    </xf>
    <xf numFmtId="0" fontId="18" fillId="5" borderId="39" xfId="13" applyFont="1" applyFill="1" applyBorder="1" applyAlignment="1">
      <alignment horizontal="center"/>
    </xf>
    <xf numFmtId="0" fontId="18" fillId="5" borderId="40" xfId="13" applyFont="1" applyFill="1" applyBorder="1" applyAlignment="1">
      <alignment horizontal="center"/>
    </xf>
    <xf numFmtId="0" fontId="18" fillId="5" borderId="41" xfId="13" applyFont="1" applyFill="1" applyBorder="1" applyAlignment="1">
      <alignment horizontal="center"/>
    </xf>
    <xf numFmtId="0" fontId="19" fillId="0" borderId="15" xfId="13" applyFont="1" applyBorder="1" applyAlignment="1">
      <alignment horizontal="center" vertical="center" wrapText="1"/>
    </xf>
    <xf numFmtId="0" fontId="19" fillId="0" borderId="17" xfId="13" applyFont="1" applyBorder="1" applyAlignment="1">
      <alignment horizontal="center" vertical="center" wrapText="1"/>
    </xf>
    <xf numFmtId="0" fontId="19" fillId="0" borderId="16" xfId="13" applyFont="1" applyBorder="1" applyAlignment="1">
      <alignment horizontal="center" vertical="center" wrapText="1"/>
    </xf>
    <xf numFmtId="0" fontId="19" fillId="0" borderId="8" xfId="13" applyFont="1" applyBorder="1" applyAlignment="1">
      <alignment horizontal="center" vertical="center" wrapText="1"/>
    </xf>
    <xf numFmtId="0" fontId="19" fillId="0" borderId="0" xfId="13" applyFont="1" applyBorder="1" applyAlignment="1">
      <alignment horizontal="center" vertical="center" wrapText="1"/>
    </xf>
    <xf numFmtId="0" fontId="19" fillId="0" borderId="12" xfId="13" applyFont="1" applyBorder="1" applyAlignment="1">
      <alignment horizontal="center" vertical="center" wrapText="1"/>
    </xf>
    <xf numFmtId="0" fontId="19" fillId="0" borderId="13" xfId="13" applyFont="1" applyBorder="1" applyAlignment="1">
      <alignment horizontal="center" vertical="center" wrapText="1"/>
    </xf>
    <xf numFmtId="0" fontId="19" fillId="0" borderId="22" xfId="13" applyFont="1" applyBorder="1" applyAlignment="1">
      <alignment horizontal="center" vertical="center" wrapText="1"/>
    </xf>
    <xf numFmtId="0" fontId="19" fillId="0" borderId="14" xfId="13" applyFont="1" applyBorder="1" applyAlignment="1">
      <alignment horizontal="center" vertical="center" wrapText="1"/>
    </xf>
    <xf numFmtId="0" fontId="18" fillId="5" borderId="1" xfId="13" applyFont="1" applyFill="1" applyBorder="1" applyAlignment="1">
      <alignment horizontal="center"/>
    </xf>
    <xf numFmtId="0" fontId="18" fillId="5" borderId="66" xfId="13" applyFont="1" applyFill="1" applyBorder="1" applyAlignment="1">
      <alignment horizontal="center"/>
    </xf>
    <xf numFmtId="0" fontId="18" fillId="5" borderId="11" xfId="13" applyFont="1" applyFill="1" applyBorder="1" applyAlignment="1">
      <alignment horizontal="center"/>
    </xf>
    <xf numFmtId="0" fontId="3" fillId="8" borderId="39" xfId="13" applyFont="1" applyFill="1" applyBorder="1" applyAlignment="1">
      <alignment horizontal="center" vertical="center" wrapText="1"/>
    </xf>
    <xf numFmtId="0" fontId="3" fillId="8" borderId="40" xfId="13" applyFont="1" applyFill="1" applyBorder="1" applyAlignment="1">
      <alignment horizontal="center" vertical="center" wrapText="1"/>
    </xf>
    <xf numFmtId="0" fontId="3" fillId="8" borderId="41" xfId="13" applyFont="1" applyFill="1" applyBorder="1" applyAlignment="1">
      <alignment horizontal="center" vertical="center" wrapText="1"/>
    </xf>
    <xf numFmtId="0" fontId="3" fillId="8" borderId="44" xfId="13" applyFont="1" applyFill="1" applyBorder="1" applyAlignment="1">
      <alignment horizontal="center" vertical="center" wrapText="1"/>
    </xf>
    <xf numFmtId="0" fontId="3" fillId="8" borderId="45" xfId="13" applyFont="1" applyFill="1" applyBorder="1" applyAlignment="1">
      <alignment horizontal="center" vertical="center" wrapText="1"/>
    </xf>
    <xf numFmtId="0" fontId="3" fillId="8" borderId="46" xfId="13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8" fillId="5" borderId="67" xfId="13" applyFont="1" applyFill="1" applyBorder="1" applyAlignment="1">
      <alignment horizontal="center"/>
    </xf>
    <xf numFmtId="0" fontId="18" fillId="5" borderId="68" xfId="13" applyFont="1" applyFill="1" applyBorder="1" applyAlignment="1">
      <alignment horizontal="center"/>
    </xf>
    <xf numFmtId="0" fontId="33" fillId="8" borderId="24" xfId="13" applyFont="1" applyFill="1" applyBorder="1" applyAlignment="1">
      <alignment vertical="center" textRotation="90"/>
    </xf>
    <xf numFmtId="0" fontId="33" fillId="8" borderId="74" xfId="13" applyFont="1" applyFill="1" applyBorder="1" applyAlignment="1">
      <alignment vertical="center" textRotation="90"/>
    </xf>
    <xf numFmtId="0" fontId="37" fillId="5" borderId="21" xfId="0" applyFont="1" applyFill="1" applyBorder="1" applyAlignment="1">
      <alignment horizontal="center"/>
    </xf>
    <xf numFmtId="0" fontId="37" fillId="5" borderId="23" xfId="0" applyFont="1" applyFill="1" applyBorder="1" applyAlignment="1">
      <alignment horizontal="center"/>
    </xf>
    <xf numFmtId="0" fontId="37" fillId="5" borderId="2" xfId="0" applyFont="1" applyFill="1" applyBorder="1" applyAlignment="1">
      <alignment horizontal="center"/>
    </xf>
    <xf numFmtId="0" fontId="45" fillId="5" borderId="8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5" borderId="13" xfId="0" applyFont="1" applyFill="1" applyBorder="1" applyAlignment="1">
      <alignment horizontal="center"/>
    </xf>
    <xf numFmtId="0" fontId="45" fillId="5" borderId="22" xfId="0" applyFont="1" applyFill="1" applyBorder="1" applyAlignment="1">
      <alignment horizontal="center"/>
    </xf>
    <xf numFmtId="0" fontId="18" fillId="8" borderId="0" xfId="13" applyFont="1" applyFill="1" applyBorder="1" applyAlignment="1">
      <alignment horizontal="center"/>
    </xf>
    <xf numFmtId="0" fontId="19" fillId="8" borderId="0" xfId="13" applyFont="1" applyFill="1" applyBorder="1" applyAlignment="1">
      <alignment horizontal="center" vertical="center" wrapText="1"/>
    </xf>
    <xf numFmtId="0" fontId="3" fillId="8" borderId="0" xfId="13" applyFont="1" applyFill="1" applyBorder="1" applyAlignment="1">
      <alignment horizontal="center" vertical="center" wrapText="1"/>
    </xf>
    <xf numFmtId="0" fontId="36" fillId="5" borderId="21" xfId="0" applyFont="1" applyFill="1" applyBorder="1" applyAlignment="1">
      <alignment horizontal="center" vertical="center"/>
    </xf>
    <xf numFmtId="0" fontId="36" fillId="5" borderId="23" xfId="0" applyFont="1" applyFill="1" applyBorder="1" applyAlignment="1">
      <alignment horizontal="center" vertical="center"/>
    </xf>
    <xf numFmtId="0" fontId="40" fillId="5" borderId="15" xfId="13" applyFont="1" applyFill="1" applyBorder="1" applyAlignment="1">
      <alignment horizontal="center"/>
    </xf>
    <xf numFmtId="0" fontId="41" fillId="5" borderId="8" xfId="13" applyFont="1" applyFill="1" applyBorder="1" applyAlignment="1">
      <alignment horizontal="center"/>
    </xf>
    <xf numFmtId="0" fontId="41" fillId="5" borderId="13" xfId="13" applyFont="1" applyFill="1" applyBorder="1" applyAlignment="1">
      <alignment horizontal="center"/>
    </xf>
    <xf numFmtId="9" fontId="22" fillId="19" borderId="32" xfId="26" applyFont="1" applyFill="1" applyBorder="1" applyAlignment="1">
      <alignment horizontal="center"/>
    </xf>
    <xf numFmtId="10" fontId="22" fillId="19" borderId="50" xfId="0" applyNumberFormat="1" applyFont="1" applyFill="1" applyBorder="1" applyAlignment="1">
      <alignment horizontal="center"/>
    </xf>
  </cellXfs>
  <cellStyles count="34">
    <cellStyle name="Euro" xfId="1" xr:uid="{00000000-0005-0000-0000-000000000000}"/>
    <cellStyle name="Millares 2" xfId="2" xr:uid="{00000000-0005-0000-0000-000001000000}"/>
    <cellStyle name="Millares 3" xfId="3" xr:uid="{00000000-0005-0000-0000-000002000000}"/>
    <cellStyle name="Millares 3 2" xfId="4" xr:uid="{00000000-0005-0000-0000-000003000000}"/>
    <cellStyle name="Moneda" xfId="5" builtinId="4"/>
    <cellStyle name="Moneda 2" xfId="6" xr:uid="{00000000-0005-0000-0000-000005000000}"/>
    <cellStyle name="Moneda 3" xfId="7" xr:uid="{00000000-0005-0000-0000-000006000000}"/>
    <cellStyle name="Moneda 3 2" xfId="8" xr:uid="{00000000-0005-0000-0000-000007000000}"/>
    <cellStyle name="Moneda 4" xfId="9" xr:uid="{00000000-0005-0000-0000-000008000000}"/>
    <cellStyle name="Moneda 5" xfId="10" xr:uid="{00000000-0005-0000-0000-000009000000}"/>
    <cellStyle name="Normal" xfId="0" builtinId="0"/>
    <cellStyle name="Normal 10" xfId="11" xr:uid="{00000000-0005-0000-0000-00000B000000}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Normal 3 2" xfId="15" xr:uid="{00000000-0005-0000-0000-00000F000000}"/>
    <cellStyle name="Normal 3 3" xfId="16" xr:uid="{00000000-0005-0000-0000-000010000000}"/>
    <cellStyle name="Normal 4" xfId="17" xr:uid="{00000000-0005-0000-0000-000011000000}"/>
    <cellStyle name="Normal 5" xfId="18" xr:uid="{00000000-0005-0000-0000-000012000000}"/>
    <cellStyle name="Normal 5 2" xfId="19" xr:uid="{00000000-0005-0000-0000-000013000000}"/>
    <cellStyle name="Normal 6" xfId="20" xr:uid="{00000000-0005-0000-0000-000014000000}"/>
    <cellStyle name="Normal 6 2" xfId="21" xr:uid="{00000000-0005-0000-0000-000015000000}"/>
    <cellStyle name="Normal 7" xfId="22" xr:uid="{00000000-0005-0000-0000-000016000000}"/>
    <cellStyle name="Normal 7 2" xfId="23" xr:uid="{00000000-0005-0000-0000-000017000000}"/>
    <cellStyle name="Normal 8" xfId="24" xr:uid="{00000000-0005-0000-0000-000018000000}"/>
    <cellStyle name="Normal 9" xfId="25" xr:uid="{00000000-0005-0000-0000-000019000000}"/>
    <cellStyle name="Porcentaje" xfId="26" builtinId="5"/>
    <cellStyle name="Porcentual 2" xfId="27" xr:uid="{00000000-0005-0000-0000-00001B000000}"/>
    <cellStyle name="Porcentual 21" xfId="28" xr:uid="{00000000-0005-0000-0000-00001C000000}"/>
    <cellStyle name="Porcentual 3" xfId="29" xr:uid="{00000000-0005-0000-0000-00001D000000}"/>
    <cellStyle name="Porcentual 3 2" xfId="30" xr:uid="{00000000-0005-0000-0000-00001E000000}"/>
    <cellStyle name="Porcentual 4" xfId="31" xr:uid="{00000000-0005-0000-0000-00001F000000}"/>
    <cellStyle name="Porcentual 5" xfId="32" xr:uid="{00000000-0005-0000-0000-000020000000}"/>
    <cellStyle name="Porcentual 5 2" xfId="33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ES" sz="2400"/>
              <a:t>Recaudacion Mensual</a:t>
            </a:r>
          </a:p>
        </c:rich>
      </c:tx>
      <c:layout>
        <c:manualLayout>
          <c:xMode val="edge"/>
          <c:yMode val="edge"/>
          <c:x val="0.38212040077707826"/>
          <c:y val="3.28283637852247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0464071842607"/>
          <c:y val="0.1881445666687222"/>
          <c:w val="0.86214784400141764"/>
          <c:h val="0.57732031416155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Recaudacion!$B$59</c:f>
              <c:strCache>
                <c:ptCount val="1"/>
                <c:pt idx="0">
                  <c:v>VALOR  2021</c:v>
                </c:pt>
              </c:strCache>
            </c:strRef>
          </c:tx>
          <c:spPr>
            <a:solidFill>
              <a:srgbClr val="0D58FF"/>
            </a:solidFill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/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7F6-47C9-BA5D-E2B5003EE636}"/>
                </c:ext>
              </c:extLst>
            </c:dLbl>
            <c:dLbl>
              <c:idx val="3"/>
              <c:layout>
                <c:manualLayout>
                  <c:x val="-5.3706069522210242E-3"/>
                  <c:y val="-0.1479566300725029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F6-47C9-BA5D-E2B5003EE636}"/>
                </c:ext>
              </c:extLst>
            </c:dLbl>
            <c:dLbl>
              <c:idx val="4"/>
              <c:layout>
                <c:manualLayout>
                  <c:x val="4.2710787628738589E-3"/>
                  <c:y val="-0.2146875156038598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F6-47C9-BA5D-E2B5003EE636}"/>
                </c:ext>
              </c:extLst>
            </c:dLbl>
            <c:dLbl>
              <c:idx val="5"/>
              <c:layout>
                <c:manualLayout>
                  <c:x val="-1.9099435164550149E-3"/>
                  <c:y val="-0.144498359565708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F6-47C9-BA5D-E2B5003EE63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Recaudacion!$C$52:$O$52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Recaudacion!$C$59:$O$59</c:f>
              <c:numCache>
                <c:formatCode>"$"\ #,##0.00</c:formatCode>
                <c:ptCount val="12"/>
                <c:pt idx="0">
                  <c:v>3067773.9400000004</c:v>
                </c:pt>
                <c:pt idx="1">
                  <c:v>2739497</c:v>
                </c:pt>
                <c:pt idx="2">
                  <c:v>4831677.45</c:v>
                </c:pt>
                <c:pt idx="3">
                  <c:v>6600354.3000000007</c:v>
                </c:pt>
                <c:pt idx="4">
                  <c:v>6451832.75</c:v>
                </c:pt>
                <c:pt idx="5">
                  <c:v>6439270.7999999998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F6-47C9-BA5D-E2B5003EE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951808"/>
        <c:axId val="66974080"/>
      </c:barChart>
      <c:lineChart>
        <c:grouping val="stacked"/>
        <c:varyColors val="0"/>
        <c:ser>
          <c:idx val="2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Recaudacion!$C$52:$N$52</c:f>
              <c:strCache>
                <c:ptCount val="11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</c:strCache>
            </c:strRef>
          </c:cat>
          <c:smooth val="0"/>
          <c:extLst>
            <c:ext xmlns:c16="http://schemas.microsoft.com/office/drawing/2014/chart" uri="{C3380CC4-5D6E-409C-BE32-E72D297353CC}">
              <c16:uniqueId val="{00000005-07F6-47C9-BA5D-E2B5003EE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51808"/>
        <c:axId val="66974080"/>
      </c:lineChart>
      <c:catAx>
        <c:axId val="6695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66974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6974080"/>
        <c:scaling>
          <c:orientation val="minMax"/>
        </c:scaling>
        <c:delete val="0"/>
        <c:axPos val="l"/>
        <c:numFmt formatCode="\$\ 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66951808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7.8322815066109205E-2"/>
          <c:y val="0.89646685721190722"/>
          <c:w val="0.8726269193729137"/>
          <c:h val="9.5959832602964715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es-AR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AR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% DE EXPEDIENTES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[4]BORRADOR!$D$40:$E$40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[4]BORRADOR!$D$41:$E$41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C-4DAE-9410-4283DDC56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58880"/>
        <c:axId val="64060416"/>
      </c:barChart>
      <c:catAx>
        <c:axId val="6405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6406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06041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64058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% DE EXPEDIENTES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[4]BORRADOR!$D$40:$E$40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[4]BORRADOR!$D$41:$E$41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E-4AEC-917A-F56645120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88704"/>
        <c:axId val="64782720"/>
      </c:barChart>
      <c:catAx>
        <c:axId val="6408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6478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78272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64088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% DE EXPEDIENTES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[4]BORRADOR!$D$40:$E$40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[4]BORRADOR!$D$41:$E$41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E-4375-B339-B29FB9B1E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50272"/>
        <c:axId val="64951808"/>
      </c:barChart>
      <c:catAx>
        <c:axId val="6495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6495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95180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64950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% DE EXPEDIENTES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[4]BORRADOR!$D$40:$E$40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[4]BORRADOR!$D$41:$E$41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0-415A-AEA4-37B5D4853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143936"/>
        <c:axId val="65145472"/>
      </c:barChart>
      <c:catAx>
        <c:axId val="6514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6514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14547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65143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211787141743681E-3"/>
          <c:y val="0"/>
          <c:w val="0.98506191079950101"/>
          <c:h val="1"/>
        </c:manualLayout>
      </c:layout>
      <c:pie3DChart>
        <c:varyColors val="1"/>
        <c:ser>
          <c:idx val="0"/>
          <c:order val="0"/>
          <c:tx>
            <c:strRef>
              <c:f>Porcentajes!$B$140</c:f>
              <c:strCache>
                <c:ptCount val="1"/>
                <c:pt idx="0">
                  <c:v>REPRESENTACION DE CADA LOCAL EN LA VENTA ANUAL -en %-</c:v>
                </c:pt>
              </c:strCache>
            </c:strRef>
          </c:tx>
          <c:explosion val="7"/>
          <c:dLbls>
            <c:dLbl>
              <c:idx val="6"/>
              <c:layout>
                <c:manualLayout>
                  <c:x val="7.5161795452895641E-2"/>
                  <c:y val="1.271654660171482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A1-46DE-8FE2-0E8496BB7B56}"/>
                </c:ext>
              </c:extLst>
            </c:dLbl>
            <c:dLbl>
              <c:idx val="7"/>
              <c:layout>
                <c:manualLayout>
                  <c:x val="9.3866262615350235E-2"/>
                  <c:y val="4.220045662942303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A1-46DE-8FE2-0E8496BB7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/>
                </a:pPr>
                <a:endParaRPr lang="es-A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Porcentajes!$B$57:$B$64</c:f>
              <c:strCache>
                <c:ptCount val="8"/>
                <c:pt idx="0">
                  <c:v>LOCAL 1</c:v>
                </c:pt>
                <c:pt idx="1">
                  <c:v>LOCAL 2</c:v>
                </c:pt>
                <c:pt idx="2">
                  <c:v>LOCAL 3</c:v>
                </c:pt>
                <c:pt idx="3">
                  <c:v>LOCAL 4</c:v>
                </c:pt>
                <c:pt idx="4">
                  <c:v>LOCAL 5</c:v>
                </c:pt>
                <c:pt idx="5">
                  <c:v>LOCAL 6</c:v>
                </c:pt>
                <c:pt idx="6">
                  <c:v>LOCAL 7</c:v>
                </c:pt>
                <c:pt idx="7">
                  <c:v>LOCAL 8</c:v>
                </c:pt>
              </c:strCache>
            </c:strRef>
          </c:cat>
          <c:val>
            <c:numRef>
              <c:f>Porcentajes!$O$57:$O$64</c:f>
              <c:numCache>
                <c:formatCode>0%</c:formatCode>
                <c:ptCount val="8"/>
                <c:pt idx="0">
                  <c:v>0.15845718220123045</c:v>
                </c:pt>
                <c:pt idx="1">
                  <c:v>0.22376623401769971</c:v>
                </c:pt>
                <c:pt idx="2">
                  <c:v>8.896689899670579E-2</c:v>
                </c:pt>
                <c:pt idx="3">
                  <c:v>0.14014785602972718</c:v>
                </c:pt>
                <c:pt idx="4">
                  <c:v>0.11103016233407466</c:v>
                </c:pt>
                <c:pt idx="5">
                  <c:v>0.1632174327518954</c:v>
                </c:pt>
                <c:pt idx="6">
                  <c:v>3.6655584008090457E-2</c:v>
                </c:pt>
                <c:pt idx="7">
                  <c:v>7.7758649660576329E-2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A1-46DE-8FE2-0E8496BB7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% DE EXPEDIENTES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[4]BORRADOR!$D$40:$E$40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[4]BORRADOR!$D$41:$E$41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E-48AB-8C66-31B73DFA3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91616"/>
        <c:axId val="65397504"/>
      </c:barChart>
      <c:catAx>
        <c:axId val="6539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6539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39750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65391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% DE EXPEDIENTES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[4]BORRADOR!$D$40:$E$40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[4]BORRADOR!$D$41:$E$41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7-46F2-9E8E-7FCBCA913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38080"/>
        <c:axId val="65439616"/>
      </c:barChart>
      <c:catAx>
        <c:axId val="6543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6543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43961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65438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211787141743681E-3"/>
          <c:y val="0"/>
          <c:w val="0.98506191079950101"/>
          <c:h val="1"/>
        </c:manualLayout>
      </c:layout>
      <c:pie3DChart>
        <c:varyColors val="1"/>
        <c:ser>
          <c:idx val="0"/>
          <c:order val="0"/>
          <c:tx>
            <c:strRef>
              <c:f>Porcentajes!$B$140</c:f>
              <c:strCache>
                <c:ptCount val="1"/>
                <c:pt idx="0">
                  <c:v>REPRESENTACION DE CADA LOCAL EN LA VENTA ANUAL -en %-</c:v>
                </c:pt>
              </c:strCache>
            </c:strRef>
          </c:tx>
          <c:explosion val="7"/>
          <c:dLbls>
            <c:dLbl>
              <c:idx val="2"/>
              <c:layout>
                <c:manualLayout>
                  <c:x val="-0.12726380017693198"/>
                  <c:y val="-0.1777936139679360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C9-43B2-99AF-DB634E501A7C}"/>
                </c:ext>
              </c:extLst>
            </c:dLbl>
            <c:dLbl>
              <c:idx val="6"/>
              <c:layout>
                <c:manualLayout>
                  <c:x val="7.5161795452895641E-2"/>
                  <c:y val="1.271654660171482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C9-43B2-99AF-DB634E501A7C}"/>
                </c:ext>
              </c:extLst>
            </c:dLbl>
            <c:dLbl>
              <c:idx val="7"/>
              <c:layout>
                <c:manualLayout>
                  <c:x val="9.3866262615350235E-2"/>
                  <c:y val="4.220045662942303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C9-43B2-99AF-DB634E501A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/>
                </a:pPr>
                <a:endParaRPr lang="es-A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Porcentajes!$B$57:$B$64</c:f>
              <c:strCache>
                <c:ptCount val="8"/>
                <c:pt idx="0">
                  <c:v>LOCAL 1</c:v>
                </c:pt>
                <c:pt idx="1">
                  <c:v>LOCAL 2</c:v>
                </c:pt>
                <c:pt idx="2">
                  <c:v>LOCAL 3</c:v>
                </c:pt>
                <c:pt idx="3">
                  <c:v>LOCAL 4</c:v>
                </c:pt>
                <c:pt idx="4">
                  <c:v>LOCAL 5</c:v>
                </c:pt>
                <c:pt idx="5">
                  <c:v>LOCAL 6</c:v>
                </c:pt>
                <c:pt idx="6">
                  <c:v>LOCAL 7</c:v>
                </c:pt>
                <c:pt idx="7">
                  <c:v>LOCAL 8</c:v>
                </c:pt>
              </c:strCache>
            </c:strRef>
          </c:cat>
          <c:val>
            <c:numRef>
              <c:f>Porcentajes!$G$57:$G$64</c:f>
              <c:numCache>
                <c:formatCode>0.00%</c:formatCode>
                <c:ptCount val="8"/>
                <c:pt idx="0">
                  <c:v>0.16476555440777663</c:v>
                </c:pt>
                <c:pt idx="1">
                  <c:v>0.21623287584446452</c:v>
                </c:pt>
                <c:pt idx="2">
                  <c:v>7.772706135322556E-2</c:v>
                </c:pt>
                <c:pt idx="3">
                  <c:v>0.13589595917532116</c:v>
                </c:pt>
                <c:pt idx="4">
                  <c:v>0.10640398265128617</c:v>
                </c:pt>
                <c:pt idx="5">
                  <c:v>0.1670543769132887</c:v>
                </c:pt>
                <c:pt idx="6">
                  <c:v>6.0945163217381915E-2</c:v>
                </c:pt>
                <c:pt idx="7" formatCode="0%">
                  <c:v>7.0975026437255367E-2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C9-43B2-99AF-DB634E501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200" b="1" i="1" u="sng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ES" sz="1200" i="1" u="sng"/>
              <a:t>Cantidad de Tickets vendidos y promedio de venta</a:t>
            </a:r>
          </a:p>
        </c:rich>
      </c:tx>
      <c:layout>
        <c:manualLayout>
          <c:xMode val="edge"/>
          <c:yMode val="edge"/>
          <c:x val="0.18376669816112595"/>
          <c:y val="3.585162190076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0122680367456"/>
          <c:y val="0.15535702823665337"/>
          <c:w val="0.80819843783107426"/>
          <c:h val="0.66923027548096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Recaudacion!$B$62</c:f>
              <c:strCache>
                <c:ptCount val="1"/>
                <c:pt idx="0">
                  <c:v>Cant de Prendas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Recaudacion!$C$52:$O$52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Recaudacion!$C$62:$O$62</c:f>
              <c:numCache>
                <c:formatCode>General</c:formatCode>
                <c:ptCount val="12"/>
                <c:pt idx="0">
                  <c:v>9197</c:v>
                </c:pt>
                <c:pt idx="1">
                  <c:v>7508</c:v>
                </c:pt>
                <c:pt idx="2">
                  <c:v>6522</c:v>
                </c:pt>
                <c:pt idx="3" formatCode="0">
                  <c:v>6369</c:v>
                </c:pt>
                <c:pt idx="4" formatCode="0">
                  <c:v>6022</c:v>
                </c:pt>
                <c:pt idx="5" formatCode="0">
                  <c:v>6568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0-4685-951A-199A60836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44608"/>
        <c:axId val="37046144"/>
      </c:barChart>
      <c:catAx>
        <c:axId val="3704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37046144"/>
        <c:crossesAt val="1"/>
        <c:auto val="1"/>
        <c:lblAlgn val="ctr"/>
        <c:lblOffset val="500"/>
        <c:tickLblSkip val="1"/>
        <c:tickMarkSkip val="1"/>
        <c:noMultiLvlLbl val="0"/>
      </c:catAx>
      <c:valAx>
        <c:axId val="37046144"/>
        <c:scaling>
          <c:logBase val="10"/>
          <c:orientation val="minMax"/>
          <c:min val="400"/>
        </c:scaling>
        <c:delete val="0"/>
        <c:axPos val="l"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37044608"/>
        <c:crosses val="autoZero"/>
        <c:crossBetween val="between"/>
      </c:valAx>
      <c:spPr>
        <a:solidFill>
          <a:srgbClr val="404040"/>
        </a:solidFill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AR"/>
    </a:p>
  </c:txPr>
  <c:printSettings>
    <c:headerFooter alignWithMargins="0"/>
    <c:pageMargins b="1" l="0.75000000000001465" r="0.75000000000001465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solidFill>
          <a:schemeClr val="tx1"/>
        </a:solidFill>
      </c:spPr>
    </c:sideWall>
    <c:backWall>
      <c:thickness val="0"/>
      <c:spPr>
        <a:solidFill>
          <a:schemeClr val="tx1"/>
        </a:solidFill>
      </c:spPr>
    </c:backWall>
    <c:plotArea>
      <c:layout>
        <c:manualLayout>
          <c:layoutTarget val="inner"/>
          <c:xMode val="edge"/>
          <c:yMode val="edge"/>
          <c:x val="0.10751291521467575"/>
          <c:y val="0.14165322639911962"/>
          <c:w val="0.89248709868228737"/>
          <c:h val="0.745049810578530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Recaudacion!$B$57</c:f>
              <c:strCache>
                <c:ptCount val="1"/>
                <c:pt idx="0">
                  <c:v>VALOR  2020</c:v>
                </c:pt>
              </c:strCache>
            </c:strRef>
          </c:tx>
          <c:spPr>
            <a:solidFill>
              <a:srgbClr val="0D58FF"/>
            </a:solidFill>
          </c:spPr>
          <c:invertIfNegative val="0"/>
          <c:cat>
            <c:strRef>
              <c:f>Recaudacion!$C$52:$O$52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Recaudacion!$C$57:$O$57</c:f>
              <c:numCache>
                <c:formatCode>"$"\ #,##0.00</c:formatCode>
                <c:ptCount val="12"/>
                <c:pt idx="0">
                  <c:v>1164885.0999999999</c:v>
                </c:pt>
                <c:pt idx="1">
                  <c:v>1388270.6</c:v>
                </c:pt>
                <c:pt idx="2">
                  <c:v>1905877.45</c:v>
                </c:pt>
                <c:pt idx="3">
                  <c:v>2847958.28</c:v>
                </c:pt>
                <c:pt idx="4">
                  <c:v>3409426.21</c:v>
                </c:pt>
                <c:pt idx="5">
                  <c:v>3336641.9</c:v>
                </c:pt>
                <c:pt idx="6">
                  <c:v>3887181.35</c:v>
                </c:pt>
                <c:pt idx="7">
                  <c:v>2923073.96</c:v>
                </c:pt>
                <c:pt idx="8">
                  <c:v>3449788.52</c:v>
                </c:pt>
                <c:pt idx="9">
                  <c:v>4951300.63</c:v>
                </c:pt>
                <c:pt idx="10">
                  <c:v>3980401.35</c:v>
                </c:pt>
                <c:pt idx="11">
                  <c:v>6043890.3599999994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64-4845-B28F-EAED67134371}"/>
            </c:ext>
          </c:extLst>
        </c:ser>
        <c:ser>
          <c:idx val="1"/>
          <c:order val="1"/>
          <c:tx>
            <c:strRef>
              <c:f>Recaudacion!$B$55</c:f>
              <c:strCache>
                <c:ptCount val="1"/>
                <c:pt idx="0">
                  <c:v>VALOR  2019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Recaudacion!$C$52:$O$52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Recaudacion!$C$55:$O$55</c:f>
              <c:numCache>
                <c:formatCode>"$"\ #,##0.00</c:formatCode>
                <c:ptCount val="12"/>
                <c:pt idx="0">
                  <c:v>682688.24</c:v>
                </c:pt>
                <c:pt idx="1">
                  <c:v>1163234.95</c:v>
                </c:pt>
                <c:pt idx="2">
                  <c:v>1555968.9000000001</c:v>
                </c:pt>
                <c:pt idx="3">
                  <c:v>1848510.1500000001</c:v>
                </c:pt>
                <c:pt idx="4">
                  <c:v>1995190.4699999997</c:v>
                </c:pt>
                <c:pt idx="5">
                  <c:v>1733351.6800000002</c:v>
                </c:pt>
                <c:pt idx="6">
                  <c:v>1809851.1400000001</c:v>
                </c:pt>
                <c:pt idx="7">
                  <c:v>2005525.76</c:v>
                </c:pt>
                <c:pt idx="8">
                  <c:v>1949844.79</c:v>
                </c:pt>
                <c:pt idx="9">
                  <c:v>2355817.73</c:v>
                </c:pt>
                <c:pt idx="10">
                  <c:v>2040795.4000000001</c:v>
                </c:pt>
                <c:pt idx="11">
                  <c:v>3304697.68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64-4845-B28F-EAED67134371}"/>
            </c:ext>
          </c:extLst>
        </c:ser>
        <c:ser>
          <c:idx val="2"/>
          <c:order val="2"/>
          <c:tx>
            <c:strRef>
              <c:f>Recaudacion!$B$53</c:f>
              <c:strCache>
                <c:ptCount val="1"/>
                <c:pt idx="0">
                  <c:v>VALOR  2018</c:v>
                </c:pt>
              </c:strCache>
            </c:strRef>
          </c:tx>
          <c:invertIfNegative val="0"/>
          <c:cat>
            <c:strRef>
              <c:f>Recaudacion!$C$52:$O$52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Recaudacion!$C$53:$O$53</c:f>
              <c:numCache>
                <c:formatCode>"$"\ #,##0.00</c:formatCode>
                <c:ptCount val="12"/>
                <c:pt idx="0">
                  <c:v>422498.89</c:v>
                </c:pt>
                <c:pt idx="1">
                  <c:v>706295.9</c:v>
                </c:pt>
                <c:pt idx="2">
                  <c:v>1284890.8</c:v>
                </c:pt>
                <c:pt idx="3">
                  <c:v>1289737.5</c:v>
                </c:pt>
                <c:pt idx="4">
                  <c:v>1579710.37</c:v>
                </c:pt>
                <c:pt idx="5">
                  <c:v>1567274.9500000002</c:v>
                </c:pt>
                <c:pt idx="6">
                  <c:v>1536873.31</c:v>
                </c:pt>
                <c:pt idx="7">
                  <c:v>1259712.54</c:v>
                </c:pt>
                <c:pt idx="8">
                  <c:v>1313318.2000000002</c:v>
                </c:pt>
                <c:pt idx="9">
                  <c:v>1519295.26</c:v>
                </c:pt>
                <c:pt idx="10">
                  <c:v>1387633.47</c:v>
                </c:pt>
                <c:pt idx="11">
                  <c:v>2067237.56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64-4845-B28F-EAED67134371}"/>
            </c:ext>
          </c:extLst>
        </c:ser>
        <c:ser>
          <c:idx val="3"/>
          <c:order val="3"/>
          <c:tx>
            <c:strRef>
              <c:f>Recaudacion!$B$59</c:f>
              <c:strCache>
                <c:ptCount val="1"/>
                <c:pt idx="0">
                  <c:v>VALOR  2021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Recaudacion!$C$52:$O$52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Recaudacion!$C$59:$O$59</c:f>
              <c:numCache>
                <c:formatCode>"$"\ #,##0.00</c:formatCode>
                <c:ptCount val="12"/>
                <c:pt idx="0">
                  <c:v>3067773.9400000004</c:v>
                </c:pt>
                <c:pt idx="1">
                  <c:v>2739497</c:v>
                </c:pt>
                <c:pt idx="2">
                  <c:v>4831677.45</c:v>
                </c:pt>
                <c:pt idx="3">
                  <c:v>6600354.3000000007</c:v>
                </c:pt>
                <c:pt idx="4">
                  <c:v>6451832.75</c:v>
                </c:pt>
                <c:pt idx="5">
                  <c:v>6439270.7999999998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64-4845-B28F-EAED67134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109632"/>
        <c:axId val="67111168"/>
        <c:axId val="0"/>
      </c:bar3DChart>
      <c:catAx>
        <c:axId val="6710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6711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7111168"/>
        <c:scaling>
          <c:orientation val="minMax"/>
        </c:scaling>
        <c:delete val="0"/>
        <c:axPos val="l"/>
        <c:numFmt formatCode="\$\ 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67109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07942811755362"/>
          <c:y val="0.86622992527995923"/>
          <c:w val="0.47577442414614773"/>
          <c:h val="0.12719325485123451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es-AR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AR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2021 vs 2020</a:t>
            </a:r>
          </a:p>
        </c:rich>
      </c:tx>
      <c:layout>
        <c:manualLayout>
          <c:xMode val="edge"/>
          <c:yMode val="edge"/>
          <c:x val="0.37618182170610609"/>
          <c:y val="3.33334319763020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4093295956862"/>
          <c:y val="0.13636403990305368"/>
          <c:w val="0.82608771902295663"/>
          <c:h val="0.66060801553034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Recaudacion!$B$63</c:f>
              <c:strCache>
                <c:ptCount val="1"/>
                <c:pt idx="0">
                  <c:v>Promedio Prenda Vendida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Recaudacion!$C$52:$O$52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Recaudacion!$C$63:$O$63</c:f>
              <c:numCache>
                <c:formatCode>_ [$$-2C0A]\ * #,##0_ ;_ [$$-2C0A]\ * \-#,##0_ ;_ [$$-2C0A]\ * "-"??_ ;_ @_ </c:formatCode>
                <c:ptCount val="12"/>
                <c:pt idx="0">
                  <c:v>333.5624594976623</c:v>
                </c:pt>
                <c:pt idx="1">
                  <c:v>364.87706446457111</c:v>
                </c:pt>
                <c:pt idx="2">
                  <c:v>639.738312471114</c:v>
                </c:pt>
                <c:pt idx="3">
                  <c:v>1036.3250588789449</c:v>
                </c:pt>
                <c:pt idx="4">
                  <c:v>916</c:v>
                </c:pt>
                <c:pt idx="5">
                  <c:v>980.40054811205846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A75-B968-DF2A13725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31264"/>
        <c:axId val="67132800"/>
      </c:barChart>
      <c:catAx>
        <c:axId val="6713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2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67132800"/>
        <c:crosses val="autoZero"/>
        <c:auto val="1"/>
        <c:lblAlgn val="ctr"/>
        <c:lblOffset val="500"/>
        <c:tickLblSkip val="1"/>
        <c:tickMarkSkip val="1"/>
        <c:noMultiLvlLbl val="0"/>
      </c:catAx>
      <c:valAx>
        <c:axId val="67132800"/>
        <c:scaling>
          <c:orientation val="minMax"/>
        </c:scaling>
        <c:delete val="0"/>
        <c:axPos val="l"/>
        <c:numFmt formatCode="[$$-2C0A]\ 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67131264"/>
        <c:crosses val="autoZero"/>
        <c:crossBetween val="between"/>
      </c:valAx>
      <c:spPr>
        <a:solidFill>
          <a:schemeClr val="tx1">
            <a:lumMod val="75000"/>
            <a:lumOff val="25000"/>
          </a:schemeClr>
        </a:solidFill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AR"/>
    </a:p>
  </c:txPr>
  <c:printSettings>
    <c:headerFooter alignWithMargins="0"/>
    <c:pageMargins b="1" l="0.75000000000001465" r="0.75000000000001465" t="1" header="0" footer="0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06C0-44B3-8698-44B2314F394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6C0-44B3-8698-44B2314F394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06C0-44B3-8698-44B2314F3945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Recaudacion!$C$52:$F$52</c:f>
              <c:strCache>
                <c:ptCount val="4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</c:strCache>
            </c:strRef>
          </c:cat>
          <c:val>
            <c:numRef>
              <c:f>Recaudacion!$C$62:$F$62</c:f>
              <c:numCache>
                <c:formatCode>General</c:formatCode>
                <c:ptCount val="4"/>
                <c:pt idx="0">
                  <c:v>9197</c:v>
                </c:pt>
                <c:pt idx="1">
                  <c:v>7508</c:v>
                </c:pt>
                <c:pt idx="2">
                  <c:v>6522</c:v>
                </c:pt>
                <c:pt idx="3" formatCode="0">
                  <c:v>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C0-44B3-8698-44B2314F3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96032"/>
        <c:axId val="67197568"/>
      </c:barChart>
      <c:catAx>
        <c:axId val="6719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197568"/>
        <c:crosses val="autoZero"/>
        <c:auto val="1"/>
        <c:lblAlgn val="ctr"/>
        <c:lblOffset val="100"/>
        <c:noMultiLvlLbl val="0"/>
      </c:catAx>
      <c:valAx>
        <c:axId val="67197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196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46674787290968"/>
          <c:y val="0.32180021412347637"/>
          <c:w val="9.9911120326003938E-2"/>
          <c:h val="0.3529421703289740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s-AR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title>
      <c:layout>
        <c:manualLayout>
          <c:xMode val="edge"/>
          <c:yMode val="edge"/>
          <c:x val="0.43595263724434874"/>
          <c:y val="3.592819623672026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[3]Recaudacion!$B$60</c:f>
              <c:strCache>
                <c:ptCount val="1"/>
                <c:pt idx="0">
                  <c:v>Cant de Ventas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FA0B-4E86-97BC-6E42C4CA0D4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A0B-4E86-97BC-6E42C4CA0D4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FA0B-4E86-97BC-6E42C4CA0D4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[3]Recaudacion!$C$52:$O$52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set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[3]Recaudacion!$C$60:$O$60</c:f>
              <c:numCache>
                <c:formatCode>General</c:formatCode>
                <c:ptCount val="13"/>
                <c:pt idx="0">
                  <c:v>1955</c:v>
                </c:pt>
                <c:pt idx="1">
                  <c:v>2298</c:v>
                </c:pt>
                <c:pt idx="2">
                  <c:v>3051</c:v>
                </c:pt>
                <c:pt idx="3">
                  <c:v>4313</c:v>
                </c:pt>
                <c:pt idx="4">
                  <c:v>5549</c:v>
                </c:pt>
                <c:pt idx="5">
                  <c:v>4835</c:v>
                </c:pt>
                <c:pt idx="6">
                  <c:v>6482</c:v>
                </c:pt>
                <c:pt idx="7">
                  <c:v>6755</c:v>
                </c:pt>
                <c:pt idx="9">
                  <c:v>6700</c:v>
                </c:pt>
                <c:pt idx="10">
                  <c:v>8720</c:v>
                </c:pt>
                <c:pt idx="11">
                  <c:v>6558</c:v>
                </c:pt>
                <c:pt idx="12">
                  <c:v>12490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0B-4E86-97BC-6E42C4CA0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48192"/>
        <c:axId val="67449984"/>
      </c:barChart>
      <c:catAx>
        <c:axId val="674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449984"/>
        <c:crosses val="autoZero"/>
        <c:auto val="1"/>
        <c:lblAlgn val="ctr"/>
        <c:lblOffset val="100"/>
        <c:noMultiLvlLbl val="0"/>
      </c:catAx>
      <c:valAx>
        <c:axId val="6744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448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649085037674917"/>
          <c:y val="0.16467089941830121"/>
          <c:w val="5.4897739504843918E-2"/>
          <c:h val="0.7694622027364257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s-AR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Recaudacion Mensual</a:t>
            </a:r>
          </a:p>
        </c:rich>
      </c:tx>
      <c:layout>
        <c:manualLayout>
          <c:xMode val="edge"/>
          <c:yMode val="edge"/>
          <c:x val="0.41418795154875776"/>
          <c:y val="3.28283637852247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0464071842613"/>
          <c:y val="0.1881445666687222"/>
          <c:w val="0.86214784400141764"/>
          <c:h val="0.5773203141615586"/>
        </c:manualLayout>
      </c:layout>
      <c:lineChart>
        <c:grouping val="standard"/>
        <c:varyColors val="0"/>
        <c:ser>
          <c:idx val="0"/>
          <c:order val="0"/>
          <c:tx>
            <c:strRef>
              <c:f>'PROYECCION 2021'!$B$55</c:f>
              <c:strCache>
                <c:ptCount val="1"/>
                <c:pt idx="0">
                  <c:v>VALOR  2020</c:v>
                </c:pt>
              </c:strCache>
            </c:strRef>
          </c:tx>
          <c:marker>
            <c:symbol val="none"/>
          </c:marker>
          <c:cat>
            <c:strRef>
              <c:f>'PROYECCION 2021'!$C$52:$O$52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'PROYECCION 2021'!$C$55:$O$55</c:f>
              <c:numCache>
                <c:formatCode>"$"\ #,##0.00</c:formatCode>
                <c:ptCount val="12"/>
                <c:pt idx="0">
                  <c:v>1164885.0999999999</c:v>
                </c:pt>
                <c:pt idx="1">
                  <c:v>1388270.6</c:v>
                </c:pt>
                <c:pt idx="2">
                  <c:v>1905877.45</c:v>
                </c:pt>
                <c:pt idx="3">
                  <c:v>2847958.28</c:v>
                </c:pt>
                <c:pt idx="4">
                  <c:v>3409426.21</c:v>
                </c:pt>
                <c:pt idx="5">
                  <c:v>3336641.9</c:v>
                </c:pt>
                <c:pt idx="6">
                  <c:v>3887181.35</c:v>
                </c:pt>
                <c:pt idx="7">
                  <c:v>2923073.96</c:v>
                </c:pt>
                <c:pt idx="8">
                  <c:v>3449788.52</c:v>
                </c:pt>
                <c:pt idx="9">
                  <c:v>4951300.63</c:v>
                </c:pt>
                <c:pt idx="10">
                  <c:v>3980401.35</c:v>
                </c:pt>
                <c:pt idx="11">
                  <c:v>6043890.3599999994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2C-4632-990B-DD8B4C320A4A}"/>
            </c:ext>
          </c:extLst>
        </c:ser>
        <c:ser>
          <c:idx val="1"/>
          <c:order val="1"/>
          <c:tx>
            <c:strRef>
              <c:f>'PROYECCION 2021'!$B$57</c:f>
              <c:strCache>
                <c:ptCount val="1"/>
                <c:pt idx="0">
                  <c:v>PROYECCION 2021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5255530129671988E-2"/>
                  <c:y val="3.39147442080560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2C-4632-990B-DD8B4C320A4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'PROYECCION 2021'!$C$52:$O$52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'PROYECCION 2021'!$C$57:$O$57</c:f>
              <c:numCache>
                <c:formatCode>"$"\ #,##0.00</c:formatCode>
                <c:ptCount val="12"/>
                <c:pt idx="0">
                  <c:v>2500000</c:v>
                </c:pt>
                <c:pt idx="1">
                  <c:v>2975000</c:v>
                </c:pt>
                <c:pt idx="2">
                  <c:v>4075750.0000000005</c:v>
                </c:pt>
                <c:pt idx="3">
                  <c:v>6072867.5000000009</c:v>
                </c:pt>
                <c:pt idx="4">
                  <c:v>7287441.0000000009</c:v>
                </c:pt>
                <c:pt idx="5">
                  <c:v>7141692.1800000006</c:v>
                </c:pt>
                <c:pt idx="6">
                  <c:v>8284362.9287999999</c:v>
                </c:pt>
                <c:pt idx="7">
                  <c:v>6213272.1965999994</c:v>
                </c:pt>
                <c:pt idx="8">
                  <c:v>7331661.1919879988</c:v>
                </c:pt>
                <c:pt idx="9">
                  <c:v>10557592.116462719</c:v>
                </c:pt>
                <c:pt idx="10">
                  <c:v>8446073.693170175</c:v>
                </c:pt>
                <c:pt idx="11">
                  <c:v>12838032.013618667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2C-4632-990B-DD8B4C320A4A}"/>
            </c:ext>
          </c:extLst>
        </c:ser>
        <c:ser>
          <c:idx val="2"/>
          <c:order val="2"/>
          <c:tx>
            <c:v>Venta Real 2021</c:v>
          </c:tx>
          <c:marker>
            <c:symbol val="none"/>
          </c:marker>
          <c:dLbls>
            <c:dLbl>
              <c:idx val="0"/>
              <c:layout>
                <c:manualLayout>
                  <c:x val="-1.5255530129671988E-2"/>
                  <c:y val="-2.7131795366444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2C-4632-990B-DD8B4C320A4A}"/>
                </c:ext>
              </c:extLst>
            </c:dLbl>
            <c:dLbl>
              <c:idx val="3"/>
              <c:layout>
                <c:manualLayout>
                  <c:x val="0"/>
                  <c:y val="2.0348846524833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2C-4632-990B-DD8B4C320A4A}"/>
                </c:ext>
              </c:extLst>
            </c:dLbl>
            <c:dLbl>
              <c:idx val="4"/>
              <c:layout>
                <c:manualLayout>
                  <c:x val="-3.0511060259344018E-3"/>
                  <c:y val="-6.7829488416112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2C-4632-990B-DD8B4C320A4A}"/>
                </c:ext>
              </c:extLst>
            </c:dLbl>
            <c:dLbl>
              <c:idx val="5"/>
              <c:layout>
                <c:manualLayout>
                  <c:x val="-4.1698449021103492E-2"/>
                  <c:y val="3.0523269787250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2C-4632-990B-DD8B4C320A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'PROYECCION 2021'!$C$52:$O$52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'PROYECCION 2021'!$C$56:$H$56</c:f>
              <c:numCache>
                <c:formatCode>"$"\ #,##0.00</c:formatCode>
                <c:ptCount val="6"/>
                <c:pt idx="0">
                  <c:v>3067773.9400000004</c:v>
                </c:pt>
                <c:pt idx="1">
                  <c:v>2739497</c:v>
                </c:pt>
                <c:pt idx="2">
                  <c:v>4831677.45</c:v>
                </c:pt>
                <c:pt idx="3">
                  <c:v>6600354.3000000007</c:v>
                </c:pt>
                <c:pt idx="4">
                  <c:v>6451832.75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22C-4632-990B-DD8B4C320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64928"/>
        <c:axId val="37166464"/>
      </c:lineChart>
      <c:catAx>
        <c:axId val="3716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37166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166464"/>
        <c:scaling>
          <c:orientation val="minMax"/>
        </c:scaling>
        <c:delete val="0"/>
        <c:axPos val="l"/>
        <c:numFmt formatCode="\$\ 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3716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773475321107548"/>
          <c:y val="0.86111323467397283"/>
          <c:w val="0.45690346773058177"/>
          <c:h val="0.13131345514089909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solidFill>
          <a:schemeClr val="tx1"/>
        </a:solidFill>
      </c:spPr>
    </c:sideWall>
    <c:backWall>
      <c:thickness val="0"/>
      <c:spPr>
        <a:solidFill>
          <a:schemeClr val="tx1"/>
        </a:solidFill>
      </c:spPr>
    </c:backWall>
    <c:plotArea>
      <c:layout>
        <c:manualLayout>
          <c:layoutTarget val="inner"/>
          <c:xMode val="edge"/>
          <c:yMode val="edge"/>
          <c:x val="8.8121634249275063E-2"/>
          <c:y val="0.14165322639911962"/>
          <c:w val="0.91187836575072456"/>
          <c:h val="0.716518980855531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'PROYECCION 2021'!$B$55</c:f>
              <c:strCache>
                <c:ptCount val="1"/>
                <c:pt idx="0">
                  <c:v>VALOR  2020</c:v>
                </c:pt>
              </c:strCache>
            </c:strRef>
          </c:tx>
          <c:spPr>
            <a:solidFill>
              <a:srgbClr val="0D58FF"/>
            </a:solidFill>
          </c:spPr>
          <c:invertIfNegative val="0"/>
          <c:cat>
            <c:strRef>
              <c:f>'PROYECCION 2021'!$C$52:$O$52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'PROYECCION 2021'!$C$55:$O$55</c:f>
              <c:numCache>
                <c:formatCode>"$"\ #,##0.00</c:formatCode>
                <c:ptCount val="12"/>
                <c:pt idx="0">
                  <c:v>1164885.0999999999</c:v>
                </c:pt>
                <c:pt idx="1">
                  <c:v>1388270.6</c:v>
                </c:pt>
                <c:pt idx="2">
                  <c:v>1905877.45</c:v>
                </c:pt>
                <c:pt idx="3">
                  <c:v>2847958.28</c:v>
                </c:pt>
                <c:pt idx="4">
                  <c:v>3409426.21</c:v>
                </c:pt>
                <c:pt idx="5">
                  <c:v>3336641.9</c:v>
                </c:pt>
                <c:pt idx="6">
                  <c:v>3887181.35</c:v>
                </c:pt>
                <c:pt idx="7">
                  <c:v>2923073.96</c:v>
                </c:pt>
                <c:pt idx="8">
                  <c:v>3449788.52</c:v>
                </c:pt>
                <c:pt idx="9">
                  <c:v>4951300.63</c:v>
                </c:pt>
                <c:pt idx="10">
                  <c:v>3980401.35</c:v>
                </c:pt>
                <c:pt idx="11">
                  <c:v>6043890.3599999994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1-4129-ADC9-FF8DF818B64F}"/>
            </c:ext>
          </c:extLst>
        </c:ser>
        <c:ser>
          <c:idx val="1"/>
          <c:order val="1"/>
          <c:tx>
            <c:strRef>
              <c:f>'PROYECCION 2021'!$B$54</c:f>
              <c:strCache>
                <c:ptCount val="1"/>
                <c:pt idx="0">
                  <c:v>VALOR  2019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'PROYECCION 2021'!$C$52:$O$52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'PROYECCION 2021'!$C$54:$O$54</c:f>
              <c:numCache>
                <c:formatCode>"$"\ #,##0.00</c:formatCode>
                <c:ptCount val="12"/>
                <c:pt idx="0">
                  <c:v>682688.24</c:v>
                </c:pt>
                <c:pt idx="1">
                  <c:v>1163234.95</c:v>
                </c:pt>
                <c:pt idx="2">
                  <c:v>1555968.9000000001</c:v>
                </c:pt>
                <c:pt idx="3">
                  <c:v>1848510.1500000001</c:v>
                </c:pt>
                <c:pt idx="4">
                  <c:v>1995190.4699999997</c:v>
                </c:pt>
                <c:pt idx="5">
                  <c:v>1733351.6800000002</c:v>
                </c:pt>
                <c:pt idx="6">
                  <c:v>1809851.1400000001</c:v>
                </c:pt>
                <c:pt idx="7">
                  <c:v>2005525.76</c:v>
                </c:pt>
                <c:pt idx="8">
                  <c:v>1949844.79</c:v>
                </c:pt>
                <c:pt idx="9">
                  <c:v>2355817.73</c:v>
                </c:pt>
                <c:pt idx="10">
                  <c:v>2040795.4000000001</c:v>
                </c:pt>
                <c:pt idx="11">
                  <c:v>3304697.68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41-4129-ADC9-FF8DF818B64F}"/>
            </c:ext>
          </c:extLst>
        </c:ser>
        <c:ser>
          <c:idx val="2"/>
          <c:order val="2"/>
          <c:tx>
            <c:strRef>
              <c:f>'PROYECCION 2021'!$B$53</c:f>
              <c:strCache>
                <c:ptCount val="1"/>
                <c:pt idx="0">
                  <c:v>VALOR  2018</c:v>
                </c:pt>
              </c:strCache>
            </c:strRef>
          </c:tx>
          <c:invertIfNegative val="0"/>
          <c:cat>
            <c:strRef>
              <c:f>'PROYECCION 2021'!$C$52:$O$52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'PROYECCION 2021'!$C$53:$O$53</c:f>
              <c:numCache>
                <c:formatCode>"$"\ #,##0.00</c:formatCode>
                <c:ptCount val="12"/>
                <c:pt idx="0">
                  <c:v>422498.89</c:v>
                </c:pt>
                <c:pt idx="1">
                  <c:v>706295.9</c:v>
                </c:pt>
                <c:pt idx="2">
                  <c:v>1284890.8</c:v>
                </c:pt>
                <c:pt idx="3">
                  <c:v>1289737.5</c:v>
                </c:pt>
                <c:pt idx="4">
                  <c:v>1579710.37</c:v>
                </c:pt>
                <c:pt idx="5">
                  <c:v>1567274.9500000002</c:v>
                </c:pt>
                <c:pt idx="6">
                  <c:v>1536873.31</c:v>
                </c:pt>
                <c:pt idx="7">
                  <c:v>1259712.54</c:v>
                </c:pt>
                <c:pt idx="8">
                  <c:v>1313318.2000000002</c:v>
                </c:pt>
                <c:pt idx="9">
                  <c:v>1519295.26</c:v>
                </c:pt>
                <c:pt idx="10">
                  <c:v>1387633.47</c:v>
                </c:pt>
                <c:pt idx="11">
                  <c:v>2067237.56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41-4129-ADC9-FF8DF818B64F}"/>
            </c:ext>
          </c:extLst>
        </c:ser>
        <c:ser>
          <c:idx val="3"/>
          <c:order val="3"/>
          <c:tx>
            <c:strRef>
              <c:f>'PROYECCION 2021'!$B$56</c:f>
              <c:strCache>
                <c:ptCount val="1"/>
                <c:pt idx="0">
                  <c:v>VALOR 2021</c:v>
                </c:pt>
              </c:strCache>
            </c:strRef>
          </c:tx>
          <c:invertIfNegative val="0"/>
          <c:cat>
            <c:strRef>
              <c:f>'PROYECCION 2021'!$C$52:$O$52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'PROYECCION 2021'!$C$56:$O$56</c:f>
              <c:numCache>
                <c:formatCode>"$"\ #,##0.00</c:formatCode>
                <c:ptCount val="12"/>
                <c:pt idx="0">
                  <c:v>3067773.9400000004</c:v>
                </c:pt>
                <c:pt idx="1">
                  <c:v>2739497</c:v>
                </c:pt>
                <c:pt idx="2">
                  <c:v>4831677.45</c:v>
                </c:pt>
                <c:pt idx="3">
                  <c:v>6600354.3000000007</c:v>
                </c:pt>
                <c:pt idx="4">
                  <c:v>6451832.75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41-4129-ADC9-FF8DF818B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320576"/>
        <c:axId val="37322112"/>
        <c:axId val="0"/>
      </c:bar3DChart>
      <c:catAx>
        <c:axId val="3732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37322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322112"/>
        <c:scaling>
          <c:orientation val="minMax"/>
        </c:scaling>
        <c:delete val="0"/>
        <c:axPos val="l"/>
        <c:numFmt formatCode="\$\ 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37320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7565094532556518E-2"/>
          <c:y val="0.87229621612938002"/>
          <c:w val="0.4647781217017169"/>
          <c:h val="7.792224263190492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es-AR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AR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VENTA TOTAL POR AÑO: real 2018 - 2019 y 2020. PROYECTADA 2021</a:t>
            </a:r>
          </a:p>
        </c:rich>
      </c:tx>
      <c:layout>
        <c:manualLayout>
          <c:xMode val="edge"/>
          <c:yMode val="edge"/>
          <c:x val="0.10905371707360202"/>
          <c:y val="2.756508422664624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'PROYECCION 2021'!$B$52</c:f>
              <c:strCache>
                <c:ptCount val="1"/>
                <c:pt idx="0">
                  <c:v>PERIODO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7777771702150065E-3"/>
                  <c:y val="5.0307947584991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9D-4678-85E5-25AE5CE2D87C}"/>
                </c:ext>
              </c:extLst>
            </c:dLbl>
            <c:dLbl>
              <c:idx val="1"/>
              <c:layout>
                <c:manualLayout>
                  <c:x val="2.7777771702150065E-3"/>
                  <c:y val="4.51278999668399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9D-4678-85E5-25AE5CE2D87C}"/>
                </c:ext>
              </c:extLst>
            </c:dLbl>
            <c:dLbl>
              <c:idx val="2"/>
              <c:layout>
                <c:manualLayout>
                  <c:x val="-4.4934805832767793E-2"/>
                  <c:y val="-2.0477915955772227E-3"/>
                </c:manualLayout>
              </c:layout>
              <c:spPr>
                <a:solidFill>
                  <a:schemeClr val="tx1"/>
                </a:solidFill>
              </c:spPr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A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9D-4678-85E5-25AE5CE2D87C}"/>
                </c:ext>
              </c:extLst>
            </c:dLbl>
            <c:dLbl>
              <c:idx val="3"/>
              <c:spPr>
                <a:solidFill>
                  <a:schemeClr val="tx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rgbClr val="FFFF00"/>
                      </a:solidFill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69D-4678-85E5-25AE5CE2D87C}"/>
                </c:ext>
              </c:extLst>
            </c:dLbl>
            <c:dLbl>
              <c:idx val="4"/>
              <c:layout>
                <c:manualLayout>
                  <c:x val="-1.3717421124828532E-2"/>
                  <c:y val="3.0331266819495644E-2"/>
                </c:manualLayout>
              </c:layout>
              <c:spPr>
                <a:solidFill>
                  <a:schemeClr val="tx1"/>
                </a:solidFill>
              </c:spPr>
              <c:txPr>
                <a:bodyPr/>
                <a:lstStyle/>
                <a:p>
                  <a:pPr>
                    <a:defRPr sz="1100">
                      <a:solidFill>
                        <a:srgbClr val="00B050"/>
                      </a:solidFill>
                    </a:defRPr>
                  </a:pPr>
                  <a:endParaRPr lang="es-A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9D-4678-85E5-25AE5CE2D87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rgbClr val="002060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'PROYECCION 2021'!$B$53:$B$57</c:f>
              <c:strCache>
                <c:ptCount val="5"/>
                <c:pt idx="0">
                  <c:v>VALOR  2018</c:v>
                </c:pt>
                <c:pt idx="1">
                  <c:v>VALOR  2019</c:v>
                </c:pt>
                <c:pt idx="2">
                  <c:v>VALOR  2020</c:v>
                </c:pt>
                <c:pt idx="3">
                  <c:v>VALOR 2021</c:v>
                </c:pt>
                <c:pt idx="4">
                  <c:v>PROYECCION 2021</c:v>
                </c:pt>
              </c:strCache>
            </c:strRef>
          </c:cat>
          <c:val>
            <c:numRef>
              <c:f>'PROYECCION 2021'!$P$53:$P$57</c:f>
              <c:numCache>
                <c:formatCode>"$"\ #,##0.00</c:formatCode>
                <c:ptCount val="5"/>
                <c:pt idx="0">
                  <c:v>17247796.949999999</c:v>
                </c:pt>
                <c:pt idx="1">
                  <c:v>24395321.68</c:v>
                </c:pt>
                <c:pt idx="2">
                  <c:v>39288695.710000008</c:v>
                </c:pt>
                <c:pt idx="3">
                  <c:v>23691135.440000001</c:v>
                </c:pt>
                <c:pt idx="4">
                  <c:v>83723744.820639551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9D-4678-85E5-25AE5CE2D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18656"/>
        <c:axId val="66924544"/>
      </c:barChart>
      <c:catAx>
        <c:axId val="6691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924544"/>
        <c:crosses val="autoZero"/>
        <c:auto val="1"/>
        <c:lblAlgn val="ctr"/>
        <c:lblOffset val="100"/>
        <c:noMultiLvlLbl val="0"/>
      </c:catAx>
      <c:valAx>
        <c:axId val="66924544"/>
        <c:scaling>
          <c:orientation val="minMax"/>
        </c:scaling>
        <c:delete val="0"/>
        <c:axPos val="l"/>
        <c:majorGridlines/>
        <c:numFmt formatCode="&quot;$&quot;\ #,##0.00" sourceLinked="1"/>
        <c:majorTickMark val="out"/>
        <c:minorTickMark val="none"/>
        <c:tickLblPos val="nextTo"/>
        <c:crossAx val="669186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600" b="1"/>
      </a:pPr>
      <a:endParaRPr lang="es-AR"/>
    </a:p>
  </c:txPr>
  <c:printSettings>
    <c:headerFooter/>
    <c:pageMargins b="0.75000000000000622" l="0.70000000000000062" r="0.70000000000000062" t="0.750000000000006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6</xdr:row>
      <xdr:rowOff>47625</xdr:rowOff>
    </xdr:from>
    <xdr:to>
      <xdr:col>9</xdr:col>
      <xdr:colOff>866775</xdr:colOff>
      <xdr:row>26</xdr:row>
      <xdr:rowOff>28575</xdr:rowOff>
    </xdr:to>
    <xdr:graphicFrame macro="">
      <xdr:nvGraphicFramePr>
        <xdr:cNvPr id="2052" name="Chart 1">
          <a:extLst>
            <a:ext uri="{FF2B5EF4-FFF2-40B4-BE49-F238E27FC236}">
              <a16:creationId xmlns:a16="http://schemas.microsoft.com/office/drawing/2014/main" id="{00000000-0008-0000-0600-00000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1076325</xdr:colOff>
      <xdr:row>15</xdr:row>
      <xdr:rowOff>9525</xdr:rowOff>
    </xdr:from>
    <xdr:to>
      <xdr:col>13</xdr:col>
      <xdr:colOff>1609725</xdr:colOff>
      <xdr:row>31</xdr:row>
      <xdr:rowOff>161925</xdr:rowOff>
    </xdr:to>
    <xdr:graphicFrame macro="">
      <xdr:nvGraphicFramePr>
        <xdr:cNvPr id="2053" name="Chart 2">
          <a:extLst>
            <a:ext uri="{FF2B5EF4-FFF2-40B4-BE49-F238E27FC236}">
              <a16:creationId xmlns:a16="http://schemas.microsoft.com/office/drawing/2014/main" id="{00000000-0008-0000-0600-00000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26</xdr:row>
      <xdr:rowOff>152400</xdr:rowOff>
    </xdr:from>
    <xdr:to>
      <xdr:col>9</xdr:col>
      <xdr:colOff>809625</xdr:colOff>
      <xdr:row>49</xdr:row>
      <xdr:rowOff>38100</xdr:rowOff>
    </xdr:to>
    <xdr:graphicFrame macro="">
      <xdr:nvGraphicFramePr>
        <xdr:cNvPr id="2054" name="Chart 1">
          <a:extLst>
            <a:ext uri="{FF2B5EF4-FFF2-40B4-BE49-F238E27FC236}">
              <a16:creationId xmlns:a16="http://schemas.microsoft.com/office/drawing/2014/main" id="{00000000-0008-0000-0600-00000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1114425</xdr:colOff>
      <xdr:row>32</xdr:row>
      <xdr:rowOff>161925</xdr:rowOff>
    </xdr:from>
    <xdr:to>
      <xdr:col>13</xdr:col>
      <xdr:colOff>1609725</xdr:colOff>
      <xdr:row>49</xdr:row>
      <xdr:rowOff>0</xdr:rowOff>
    </xdr:to>
    <xdr:graphicFrame macro="">
      <xdr:nvGraphicFramePr>
        <xdr:cNvPr id="2055" name="Chart 2">
          <a:extLst>
            <a:ext uri="{FF2B5EF4-FFF2-40B4-BE49-F238E27FC236}">
              <a16:creationId xmlns:a16="http://schemas.microsoft.com/office/drawing/2014/main" id="{00000000-0008-0000-06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767443</xdr:colOff>
      <xdr:row>28</xdr:row>
      <xdr:rowOff>149684</xdr:rowOff>
    </xdr:from>
    <xdr:to>
      <xdr:col>5</xdr:col>
      <xdr:colOff>1252075</xdr:colOff>
      <xdr:row>33</xdr:row>
      <xdr:rowOff>161985</xdr:rowOff>
    </xdr:to>
    <xdr:sp macro="" textlink="">
      <xdr:nvSpPr>
        <xdr:cNvPr id="7" name="6 Flecha abaj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 rot="2574784">
          <a:off x="6422572" y="6354541"/>
          <a:ext cx="484632" cy="978408"/>
        </a:xfrm>
        <a:prstGeom prst="downArrow">
          <a:avLst/>
        </a:prstGeom>
        <a:solidFill>
          <a:srgbClr val="FF00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81645</xdr:colOff>
      <xdr:row>37</xdr:row>
      <xdr:rowOff>149681</xdr:rowOff>
    </xdr:from>
    <xdr:to>
      <xdr:col>13</xdr:col>
      <xdr:colOff>1238253</xdr:colOff>
      <xdr:row>37</xdr:row>
      <xdr:rowOff>163288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flipV="1">
          <a:off x="12899574" y="8273145"/>
          <a:ext cx="4272643" cy="13607"/>
        </a:xfrm>
        <a:prstGeom prst="line">
          <a:avLst/>
        </a:prstGeom>
        <a:ln w="38100"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82</xdr:row>
      <xdr:rowOff>161925</xdr:rowOff>
    </xdr:from>
    <xdr:to>
      <xdr:col>4</xdr:col>
      <xdr:colOff>485775</xdr:colOff>
      <xdr:row>99</xdr:row>
      <xdr:rowOff>122464</xdr:rowOff>
    </xdr:to>
    <xdr:graphicFrame macro="">
      <xdr:nvGraphicFramePr>
        <xdr:cNvPr id="2059" name="9 Gráfico">
          <a:extLst>
            <a:ext uri="{FF2B5EF4-FFF2-40B4-BE49-F238E27FC236}">
              <a16:creationId xmlns:a16="http://schemas.microsoft.com/office/drawing/2014/main" id="{00000000-0008-0000-0600-00000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1333500</xdr:colOff>
      <xdr:row>86</xdr:row>
      <xdr:rowOff>163286</xdr:rowOff>
    </xdr:from>
    <xdr:to>
      <xdr:col>2</xdr:col>
      <xdr:colOff>272143</xdr:colOff>
      <xdr:row>88</xdr:row>
      <xdr:rowOff>81643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1483179" y="19022786"/>
          <a:ext cx="503464" cy="299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 b="1">
              <a:solidFill>
                <a:srgbClr val="FF0000"/>
              </a:solidFill>
            </a:rPr>
            <a:t>-18%</a:t>
          </a:r>
        </a:p>
      </xdr:txBody>
    </xdr:sp>
    <xdr:clientData/>
  </xdr:twoCellAnchor>
  <xdr:twoCellAnchor>
    <xdr:from>
      <xdr:col>2</xdr:col>
      <xdr:colOff>642255</xdr:colOff>
      <xdr:row>88</xdr:row>
      <xdr:rowOff>152401</xdr:rowOff>
    </xdr:from>
    <xdr:to>
      <xdr:col>2</xdr:col>
      <xdr:colOff>1115784</xdr:colOff>
      <xdr:row>90</xdr:row>
      <xdr:rowOff>27215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2356755" y="19392901"/>
          <a:ext cx="473529" cy="2558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 b="1">
              <a:solidFill>
                <a:srgbClr val="FF0000"/>
              </a:solidFill>
            </a:rPr>
            <a:t>-13%</a:t>
          </a:r>
        </a:p>
      </xdr:txBody>
    </xdr:sp>
    <xdr:clientData/>
  </xdr:twoCellAnchor>
  <xdr:twoCellAnchor>
    <xdr:from>
      <xdr:col>3</xdr:col>
      <xdr:colOff>155121</xdr:colOff>
      <xdr:row>90</xdr:row>
      <xdr:rowOff>46265</xdr:rowOff>
    </xdr:from>
    <xdr:to>
      <xdr:col>3</xdr:col>
      <xdr:colOff>590549</xdr:colOff>
      <xdr:row>91</xdr:row>
      <xdr:rowOff>114300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3203121" y="19667765"/>
          <a:ext cx="435428" cy="2585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 b="1">
              <a:solidFill>
                <a:srgbClr val="FF0000"/>
              </a:solidFill>
            </a:rPr>
            <a:t>-2%</a:t>
          </a:r>
        </a:p>
      </xdr:txBody>
    </xdr:sp>
    <xdr:clientData/>
  </xdr:twoCellAnchor>
  <xdr:twoCellAnchor>
    <xdr:from>
      <xdr:col>4</xdr:col>
      <xdr:colOff>827315</xdr:colOff>
      <xdr:row>82</xdr:row>
      <xdr:rowOff>189139</xdr:rowOff>
    </xdr:from>
    <xdr:to>
      <xdr:col>11</xdr:col>
      <xdr:colOff>1330779</xdr:colOff>
      <xdr:row>99</xdr:row>
      <xdr:rowOff>131989</xdr:rowOff>
    </xdr:to>
    <xdr:graphicFrame macro="">
      <xdr:nvGraphicFramePr>
        <xdr:cNvPr id="2063" name="13 Gráfico">
          <a:extLst>
            <a:ext uri="{FF2B5EF4-FFF2-40B4-BE49-F238E27FC236}">
              <a16:creationId xmlns:a16="http://schemas.microsoft.com/office/drawing/2014/main" id="{00000000-0008-0000-0600-00000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0.4122</cdr:x>
      <cdr:y>0.05153</cdr:y>
    </cdr:from>
    <cdr:to>
      <cdr:x>0.79985</cdr:x>
      <cdr:y>0.17942</cdr:y>
    </cdr:to>
    <cdr:sp macro="" textlink="">
      <cdr:nvSpPr>
        <cdr:cNvPr id="26625" name="1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0222" y="227494"/>
          <a:ext cx="4652367" cy="556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2400" b="1" i="0" u="sng" strike="noStrike">
              <a:solidFill>
                <a:srgbClr val="FFFFFF"/>
              </a:solidFill>
              <a:latin typeface="Calibri"/>
            </a:rPr>
            <a:t>Recaudacion Mensual Tri Anual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6</xdr:row>
      <xdr:rowOff>47625</xdr:rowOff>
    </xdr:from>
    <xdr:to>
      <xdr:col>9</xdr:col>
      <xdr:colOff>866775</xdr:colOff>
      <xdr:row>26</xdr:row>
      <xdr:rowOff>28575</xdr:rowOff>
    </xdr:to>
    <xdr:graphicFrame macro="">
      <xdr:nvGraphicFramePr>
        <xdr:cNvPr id="3074" name="Chart 1">
          <a:extLst>
            <a:ext uri="{FF2B5EF4-FFF2-40B4-BE49-F238E27FC236}">
              <a16:creationId xmlns:a16="http://schemas.microsoft.com/office/drawing/2014/main" id="{00000000-0008-0000-07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26</xdr:row>
      <xdr:rowOff>123825</xdr:rowOff>
    </xdr:from>
    <xdr:to>
      <xdr:col>9</xdr:col>
      <xdr:colOff>828675</xdr:colOff>
      <xdr:row>49</xdr:row>
      <xdr:rowOff>66675</xdr:rowOff>
    </xdr:to>
    <xdr:graphicFrame macro="">
      <xdr:nvGraphicFramePr>
        <xdr:cNvPr id="3075" name="Chart 1">
          <a:extLst>
            <a:ext uri="{FF2B5EF4-FFF2-40B4-BE49-F238E27FC236}">
              <a16:creationId xmlns:a16="http://schemas.microsoft.com/office/drawing/2014/main" id="{00000000-0008-0000-07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16</xdr:row>
      <xdr:rowOff>104775</xdr:rowOff>
    </xdr:from>
    <xdr:to>
      <xdr:col>13</xdr:col>
      <xdr:colOff>1819275</xdr:colOff>
      <xdr:row>48</xdr:row>
      <xdr:rowOff>152400</xdr:rowOff>
    </xdr:to>
    <xdr:graphicFrame macro="">
      <xdr:nvGraphicFramePr>
        <xdr:cNvPr id="3077" name="4 Gráfico">
          <a:extLst>
            <a:ext uri="{FF2B5EF4-FFF2-40B4-BE49-F238E27FC236}">
              <a16:creationId xmlns:a16="http://schemas.microsoft.com/office/drawing/2014/main" id="{00000000-0008-0000-07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0.36794</cdr:x>
      <cdr:y>0.01905</cdr:y>
    </cdr:from>
    <cdr:to>
      <cdr:x>0.77398</cdr:x>
      <cdr:y>0.11746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10000" y="81643"/>
          <a:ext cx="4204607" cy="421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2400" b="1" u="sng">
              <a:solidFill>
                <a:schemeClr val="bg1"/>
              </a:solidFill>
            </a:rPr>
            <a:t>Recaudacion</a:t>
          </a:r>
          <a:r>
            <a:rPr lang="es-ES" sz="2400" b="1" u="sng" baseline="0">
              <a:solidFill>
                <a:schemeClr val="bg1"/>
              </a:solidFill>
            </a:rPr>
            <a:t> Mensual Tri Anual</a:t>
          </a:r>
          <a:endParaRPr lang="es-ES" sz="2400" b="1" u="sng">
            <a:solidFill>
              <a:schemeClr val="bg1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119</xdr:row>
      <xdr:rowOff>0</xdr:rowOff>
    </xdr:from>
    <xdr:to>
      <xdr:col>9</xdr:col>
      <xdr:colOff>190500</xdr:colOff>
      <xdr:row>119</xdr:row>
      <xdr:rowOff>0</xdr:rowOff>
    </xdr:to>
    <xdr:sp macro="" textlink="">
      <xdr:nvSpPr>
        <xdr:cNvPr id="23553" name="AutoShape 1">
          <a:extLst>
            <a:ext uri="{FF2B5EF4-FFF2-40B4-BE49-F238E27FC236}">
              <a16:creationId xmlns:a16="http://schemas.microsoft.com/office/drawing/2014/main" id="{00000000-0008-0000-0800-0000015C0000}"/>
            </a:ext>
          </a:extLst>
        </xdr:cNvPr>
        <xdr:cNvSpPr>
          <a:spLocks noChangeArrowheads="1"/>
        </xdr:cNvSpPr>
      </xdr:nvSpPr>
      <xdr:spPr bwMode="auto">
        <a:xfrm>
          <a:off x="11972925" y="296513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285750</xdr:colOff>
      <xdr:row>119</xdr:row>
      <xdr:rowOff>0</xdr:rowOff>
    </xdr:from>
    <xdr:to>
      <xdr:col>8</xdr:col>
      <xdr:colOff>238125</xdr:colOff>
      <xdr:row>119</xdr:row>
      <xdr:rowOff>0</xdr:rowOff>
    </xdr:to>
    <xdr:graphicFrame macro="">
      <xdr:nvGraphicFramePr>
        <xdr:cNvPr id="23554" name="Chart 2">
          <a:extLst>
            <a:ext uri="{FF2B5EF4-FFF2-40B4-BE49-F238E27FC236}">
              <a16:creationId xmlns:a16="http://schemas.microsoft.com/office/drawing/2014/main" id="{00000000-0008-0000-0800-000002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119</xdr:row>
      <xdr:rowOff>0</xdr:rowOff>
    </xdr:from>
    <xdr:to>
      <xdr:col>1</xdr:col>
      <xdr:colOff>152400</xdr:colOff>
      <xdr:row>119</xdr:row>
      <xdr:rowOff>0</xdr:rowOff>
    </xdr:to>
    <xdr:sp macro="" textlink="">
      <xdr:nvSpPr>
        <xdr:cNvPr id="23555" name="Line 5">
          <a:extLst>
            <a:ext uri="{FF2B5EF4-FFF2-40B4-BE49-F238E27FC236}">
              <a16:creationId xmlns:a16="http://schemas.microsoft.com/office/drawing/2014/main" id="{00000000-0008-0000-0800-0000035C0000}"/>
            </a:ext>
          </a:extLst>
        </xdr:cNvPr>
        <xdr:cNvSpPr>
          <a:spLocks noChangeShapeType="1"/>
        </xdr:cNvSpPr>
      </xdr:nvSpPr>
      <xdr:spPr bwMode="auto">
        <a:xfrm>
          <a:off x="295275" y="2965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scene3d>
          <a:camera prst="legacyObliqueTopRight"/>
          <a:lightRig rig="legacyFlat4" dir="b"/>
        </a:scene3d>
        <a:sp3d extrusionH="100000" prstMaterial="legacyMatte">
          <a:bevelT w="13500" h="13500" prst="angle"/>
          <a:bevelB w="13500" h="13500" prst="angle"/>
          <a:extrusionClr>
            <a:srgbClr val="FFFF00"/>
          </a:extrusionClr>
        </a:sp3d>
      </xdr:spPr>
    </xdr:sp>
    <xdr:clientData/>
  </xdr:twoCellAnchor>
  <xdr:twoCellAnchor>
    <xdr:from>
      <xdr:col>1</xdr:col>
      <xdr:colOff>152400</xdr:colOff>
      <xdr:row>119</xdr:row>
      <xdr:rowOff>0</xdr:rowOff>
    </xdr:from>
    <xdr:to>
      <xdr:col>1</xdr:col>
      <xdr:colOff>152400</xdr:colOff>
      <xdr:row>119</xdr:row>
      <xdr:rowOff>0</xdr:rowOff>
    </xdr:to>
    <xdr:sp macro="" textlink="">
      <xdr:nvSpPr>
        <xdr:cNvPr id="23556" name="Line 6">
          <a:extLst>
            <a:ext uri="{FF2B5EF4-FFF2-40B4-BE49-F238E27FC236}">
              <a16:creationId xmlns:a16="http://schemas.microsoft.com/office/drawing/2014/main" id="{00000000-0008-0000-0800-0000045C0000}"/>
            </a:ext>
          </a:extLst>
        </xdr:cNvPr>
        <xdr:cNvSpPr>
          <a:spLocks noChangeShapeType="1"/>
        </xdr:cNvSpPr>
      </xdr:nvSpPr>
      <xdr:spPr bwMode="auto">
        <a:xfrm>
          <a:off x="295275" y="2965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scene3d>
          <a:camera prst="legacyObliqueTopRight"/>
          <a:lightRig rig="legacyFlat4" dir="b"/>
        </a:scene3d>
        <a:sp3d extrusionH="100000" prstMaterial="legacyMatte">
          <a:bevelT w="13500" h="13500" prst="angle"/>
          <a:bevelB w="13500" h="13500" prst="angle"/>
          <a:extrusionClr>
            <a:srgbClr val="FFFF00"/>
          </a:extrusionClr>
        </a:sp3d>
      </xdr:spPr>
    </xdr:sp>
    <xdr:clientData/>
  </xdr:twoCellAnchor>
  <xdr:twoCellAnchor>
    <xdr:from>
      <xdr:col>1</xdr:col>
      <xdr:colOff>152400</xdr:colOff>
      <xdr:row>119</xdr:row>
      <xdr:rowOff>0</xdr:rowOff>
    </xdr:from>
    <xdr:to>
      <xdr:col>1</xdr:col>
      <xdr:colOff>152400</xdr:colOff>
      <xdr:row>119</xdr:row>
      <xdr:rowOff>0</xdr:rowOff>
    </xdr:to>
    <xdr:sp macro="" textlink="">
      <xdr:nvSpPr>
        <xdr:cNvPr id="23557" name="Line 7">
          <a:extLst>
            <a:ext uri="{FF2B5EF4-FFF2-40B4-BE49-F238E27FC236}">
              <a16:creationId xmlns:a16="http://schemas.microsoft.com/office/drawing/2014/main" id="{00000000-0008-0000-0800-0000055C0000}"/>
            </a:ext>
          </a:extLst>
        </xdr:cNvPr>
        <xdr:cNvSpPr>
          <a:spLocks noChangeShapeType="1"/>
        </xdr:cNvSpPr>
      </xdr:nvSpPr>
      <xdr:spPr bwMode="auto">
        <a:xfrm>
          <a:off x="295275" y="2965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scene3d>
          <a:camera prst="legacyObliqueTopRight"/>
          <a:lightRig rig="legacyFlat4" dir="b"/>
        </a:scene3d>
        <a:sp3d extrusionH="100000" prstMaterial="legacyMatte">
          <a:bevelT w="13500" h="13500" prst="angle"/>
          <a:bevelB w="13500" h="13500" prst="angle"/>
          <a:extrusionClr>
            <a:srgbClr val="FFFF00"/>
          </a:extrusionClr>
        </a:sp3d>
      </xdr:spPr>
    </xdr:sp>
    <xdr:clientData/>
  </xdr:twoCellAnchor>
  <xdr:twoCellAnchor>
    <xdr:from>
      <xdr:col>9</xdr:col>
      <xdr:colOff>114300</xdr:colOff>
      <xdr:row>119</xdr:row>
      <xdr:rowOff>0</xdr:rowOff>
    </xdr:from>
    <xdr:to>
      <xdr:col>9</xdr:col>
      <xdr:colOff>190500</xdr:colOff>
      <xdr:row>119</xdr:row>
      <xdr:rowOff>0</xdr:rowOff>
    </xdr:to>
    <xdr:sp macro="" textlink="">
      <xdr:nvSpPr>
        <xdr:cNvPr id="23558" name="AutoShape 1">
          <a:extLst>
            <a:ext uri="{FF2B5EF4-FFF2-40B4-BE49-F238E27FC236}">
              <a16:creationId xmlns:a16="http://schemas.microsoft.com/office/drawing/2014/main" id="{00000000-0008-0000-0800-0000065C0000}"/>
            </a:ext>
          </a:extLst>
        </xdr:cNvPr>
        <xdr:cNvSpPr>
          <a:spLocks noChangeArrowheads="1"/>
        </xdr:cNvSpPr>
      </xdr:nvSpPr>
      <xdr:spPr bwMode="auto">
        <a:xfrm>
          <a:off x="11972925" y="2965132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285750</xdr:colOff>
      <xdr:row>119</xdr:row>
      <xdr:rowOff>0</xdr:rowOff>
    </xdr:from>
    <xdr:to>
      <xdr:col>8</xdr:col>
      <xdr:colOff>238125</xdr:colOff>
      <xdr:row>119</xdr:row>
      <xdr:rowOff>0</xdr:rowOff>
    </xdr:to>
    <xdr:graphicFrame macro="">
      <xdr:nvGraphicFramePr>
        <xdr:cNvPr id="23559" name="Chart 2">
          <a:extLst>
            <a:ext uri="{FF2B5EF4-FFF2-40B4-BE49-F238E27FC236}">
              <a16:creationId xmlns:a16="http://schemas.microsoft.com/office/drawing/2014/main" id="{00000000-0008-0000-0800-000007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119</xdr:row>
      <xdr:rowOff>0</xdr:rowOff>
    </xdr:from>
    <xdr:to>
      <xdr:col>1</xdr:col>
      <xdr:colOff>152400</xdr:colOff>
      <xdr:row>119</xdr:row>
      <xdr:rowOff>0</xdr:rowOff>
    </xdr:to>
    <xdr:sp macro="" textlink="">
      <xdr:nvSpPr>
        <xdr:cNvPr id="23560" name="Line 5">
          <a:extLst>
            <a:ext uri="{FF2B5EF4-FFF2-40B4-BE49-F238E27FC236}">
              <a16:creationId xmlns:a16="http://schemas.microsoft.com/office/drawing/2014/main" id="{00000000-0008-0000-0800-0000085C0000}"/>
            </a:ext>
          </a:extLst>
        </xdr:cNvPr>
        <xdr:cNvSpPr>
          <a:spLocks noChangeShapeType="1"/>
        </xdr:cNvSpPr>
      </xdr:nvSpPr>
      <xdr:spPr bwMode="auto">
        <a:xfrm>
          <a:off x="295275" y="2965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scene3d>
          <a:camera prst="legacyObliqueTopRight"/>
          <a:lightRig rig="legacyFlat4" dir="b"/>
        </a:scene3d>
        <a:sp3d extrusionH="100000" prstMaterial="legacyMatte">
          <a:bevelT w="13500" h="13500" prst="angle"/>
          <a:bevelB w="13500" h="13500" prst="angle"/>
          <a:extrusionClr>
            <a:srgbClr val="FFFF00"/>
          </a:extrusionClr>
        </a:sp3d>
      </xdr:spPr>
    </xdr:sp>
    <xdr:clientData/>
  </xdr:twoCellAnchor>
  <xdr:twoCellAnchor>
    <xdr:from>
      <xdr:col>1</xdr:col>
      <xdr:colOff>152400</xdr:colOff>
      <xdr:row>119</xdr:row>
      <xdr:rowOff>0</xdr:rowOff>
    </xdr:from>
    <xdr:to>
      <xdr:col>1</xdr:col>
      <xdr:colOff>152400</xdr:colOff>
      <xdr:row>119</xdr:row>
      <xdr:rowOff>0</xdr:rowOff>
    </xdr:to>
    <xdr:sp macro="" textlink="">
      <xdr:nvSpPr>
        <xdr:cNvPr id="23561" name="Line 6">
          <a:extLst>
            <a:ext uri="{FF2B5EF4-FFF2-40B4-BE49-F238E27FC236}">
              <a16:creationId xmlns:a16="http://schemas.microsoft.com/office/drawing/2014/main" id="{00000000-0008-0000-0800-0000095C0000}"/>
            </a:ext>
          </a:extLst>
        </xdr:cNvPr>
        <xdr:cNvSpPr>
          <a:spLocks noChangeShapeType="1"/>
        </xdr:cNvSpPr>
      </xdr:nvSpPr>
      <xdr:spPr bwMode="auto">
        <a:xfrm>
          <a:off x="295275" y="2965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scene3d>
          <a:camera prst="legacyObliqueTopRight"/>
          <a:lightRig rig="legacyFlat4" dir="b"/>
        </a:scene3d>
        <a:sp3d extrusionH="100000" prstMaterial="legacyMatte">
          <a:bevelT w="13500" h="13500" prst="angle"/>
          <a:bevelB w="13500" h="13500" prst="angle"/>
          <a:extrusionClr>
            <a:srgbClr val="FFFF00"/>
          </a:extrusionClr>
        </a:sp3d>
      </xdr:spPr>
    </xdr:sp>
    <xdr:clientData/>
  </xdr:twoCellAnchor>
  <xdr:twoCellAnchor>
    <xdr:from>
      <xdr:col>1</xdr:col>
      <xdr:colOff>152400</xdr:colOff>
      <xdr:row>119</xdr:row>
      <xdr:rowOff>0</xdr:rowOff>
    </xdr:from>
    <xdr:to>
      <xdr:col>1</xdr:col>
      <xdr:colOff>152400</xdr:colOff>
      <xdr:row>119</xdr:row>
      <xdr:rowOff>0</xdr:rowOff>
    </xdr:to>
    <xdr:sp macro="" textlink="">
      <xdr:nvSpPr>
        <xdr:cNvPr id="23562" name="Line 7">
          <a:extLst>
            <a:ext uri="{FF2B5EF4-FFF2-40B4-BE49-F238E27FC236}">
              <a16:creationId xmlns:a16="http://schemas.microsoft.com/office/drawing/2014/main" id="{00000000-0008-0000-0800-00000A5C0000}"/>
            </a:ext>
          </a:extLst>
        </xdr:cNvPr>
        <xdr:cNvSpPr>
          <a:spLocks noChangeShapeType="1"/>
        </xdr:cNvSpPr>
      </xdr:nvSpPr>
      <xdr:spPr bwMode="auto">
        <a:xfrm>
          <a:off x="295275" y="2965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scene3d>
          <a:camera prst="legacyObliqueTopRight"/>
          <a:lightRig rig="legacyFlat4" dir="b"/>
        </a:scene3d>
        <a:sp3d extrusionH="100000" prstMaterial="legacyMatte">
          <a:bevelT w="13500" h="13500" prst="angle"/>
          <a:bevelB w="13500" h="13500" prst="angle"/>
          <a:extrusionClr>
            <a:srgbClr val="FFFF00"/>
          </a:extrusionClr>
        </a:sp3d>
      </xdr:spPr>
    </xdr:sp>
    <xdr:clientData/>
  </xdr:twoCellAnchor>
  <xdr:twoCellAnchor>
    <xdr:from>
      <xdr:col>9</xdr:col>
      <xdr:colOff>114300</xdr:colOff>
      <xdr:row>86</xdr:row>
      <xdr:rowOff>0</xdr:rowOff>
    </xdr:from>
    <xdr:to>
      <xdr:col>9</xdr:col>
      <xdr:colOff>190500</xdr:colOff>
      <xdr:row>86</xdr:row>
      <xdr:rowOff>0</xdr:rowOff>
    </xdr:to>
    <xdr:sp macro="" textlink="">
      <xdr:nvSpPr>
        <xdr:cNvPr id="23563" name="AutoShape 1">
          <a:extLst>
            <a:ext uri="{FF2B5EF4-FFF2-40B4-BE49-F238E27FC236}">
              <a16:creationId xmlns:a16="http://schemas.microsoft.com/office/drawing/2014/main" id="{00000000-0008-0000-0800-00000B5C0000}"/>
            </a:ext>
          </a:extLst>
        </xdr:cNvPr>
        <xdr:cNvSpPr>
          <a:spLocks noChangeArrowheads="1"/>
        </xdr:cNvSpPr>
      </xdr:nvSpPr>
      <xdr:spPr bwMode="auto">
        <a:xfrm>
          <a:off x="11972925" y="211359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285750</xdr:colOff>
      <xdr:row>86</xdr:row>
      <xdr:rowOff>0</xdr:rowOff>
    </xdr:from>
    <xdr:to>
      <xdr:col>8</xdr:col>
      <xdr:colOff>238125</xdr:colOff>
      <xdr:row>86</xdr:row>
      <xdr:rowOff>0</xdr:rowOff>
    </xdr:to>
    <xdr:graphicFrame macro="">
      <xdr:nvGraphicFramePr>
        <xdr:cNvPr id="23564" name="Chart 2">
          <a:extLst>
            <a:ext uri="{FF2B5EF4-FFF2-40B4-BE49-F238E27FC236}">
              <a16:creationId xmlns:a16="http://schemas.microsoft.com/office/drawing/2014/main" id="{00000000-0008-0000-0800-00000C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152400</xdr:colOff>
      <xdr:row>86</xdr:row>
      <xdr:rowOff>0</xdr:rowOff>
    </xdr:from>
    <xdr:to>
      <xdr:col>1</xdr:col>
      <xdr:colOff>152400</xdr:colOff>
      <xdr:row>86</xdr:row>
      <xdr:rowOff>0</xdr:rowOff>
    </xdr:to>
    <xdr:sp macro="" textlink="">
      <xdr:nvSpPr>
        <xdr:cNvPr id="23565" name="Line 5">
          <a:extLst>
            <a:ext uri="{FF2B5EF4-FFF2-40B4-BE49-F238E27FC236}">
              <a16:creationId xmlns:a16="http://schemas.microsoft.com/office/drawing/2014/main" id="{00000000-0008-0000-0800-00000D5C0000}"/>
            </a:ext>
          </a:extLst>
        </xdr:cNvPr>
        <xdr:cNvSpPr>
          <a:spLocks noChangeShapeType="1"/>
        </xdr:cNvSpPr>
      </xdr:nvSpPr>
      <xdr:spPr bwMode="auto">
        <a:xfrm>
          <a:off x="295275" y="211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scene3d>
          <a:camera prst="legacyObliqueTopRight"/>
          <a:lightRig rig="legacyFlat4" dir="b"/>
        </a:scene3d>
        <a:sp3d extrusionH="100000" prstMaterial="legacyMatte">
          <a:bevelT w="13500" h="13500" prst="angle"/>
          <a:bevelB w="13500" h="13500" prst="angle"/>
          <a:extrusionClr>
            <a:srgbClr val="FFFF00"/>
          </a:extrusionClr>
        </a:sp3d>
      </xdr:spPr>
    </xdr:sp>
    <xdr:clientData/>
  </xdr:twoCellAnchor>
  <xdr:twoCellAnchor>
    <xdr:from>
      <xdr:col>1</xdr:col>
      <xdr:colOff>152400</xdr:colOff>
      <xdr:row>86</xdr:row>
      <xdr:rowOff>0</xdr:rowOff>
    </xdr:from>
    <xdr:to>
      <xdr:col>1</xdr:col>
      <xdr:colOff>152400</xdr:colOff>
      <xdr:row>86</xdr:row>
      <xdr:rowOff>0</xdr:rowOff>
    </xdr:to>
    <xdr:sp macro="" textlink="">
      <xdr:nvSpPr>
        <xdr:cNvPr id="23566" name="Line 6">
          <a:extLst>
            <a:ext uri="{FF2B5EF4-FFF2-40B4-BE49-F238E27FC236}">
              <a16:creationId xmlns:a16="http://schemas.microsoft.com/office/drawing/2014/main" id="{00000000-0008-0000-0800-00000E5C0000}"/>
            </a:ext>
          </a:extLst>
        </xdr:cNvPr>
        <xdr:cNvSpPr>
          <a:spLocks noChangeShapeType="1"/>
        </xdr:cNvSpPr>
      </xdr:nvSpPr>
      <xdr:spPr bwMode="auto">
        <a:xfrm>
          <a:off x="295275" y="211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scene3d>
          <a:camera prst="legacyObliqueTopRight"/>
          <a:lightRig rig="legacyFlat4" dir="b"/>
        </a:scene3d>
        <a:sp3d extrusionH="100000" prstMaterial="legacyMatte">
          <a:bevelT w="13500" h="13500" prst="angle"/>
          <a:bevelB w="13500" h="13500" prst="angle"/>
          <a:extrusionClr>
            <a:srgbClr val="FFFF00"/>
          </a:extrusionClr>
        </a:sp3d>
      </xdr:spPr>
    </xdr:sp>
    <xdr:clientData/>
  </xdr:twoCellAnchor>
  <xdr:twoCellAnchor>
    <xdr:from>
      <xdr:col>1</xdr:col>
      <xdr:colOff>152400</xdr:colOff>
      <xdr:row>86</xdr:row>
      <xdr:rowOff>0</xdr:rowOff>
    </xdr:from>
    <xdr:to>
      <xdr:col>1</xdr:col>
      <xdr:colOff>152400</xdr:colOff>
      <xdr:row>86</xdr:row>
      <xdr:rowOff>0</xdr:rowOff>
    </xdr:to>
    <xdr:sp macro="" textlink="">
      <xdr:nvSpPr>
        <xdr:cNvPr id="23567" name="Line 7">
          <a:extLst>
            <a:ext uri="{FF2B5EF4-FFF2-40B4-BE49-F238E27FC236}">
              <a16:creationId xmlns:a16="http://schemas.microsoft.com/office/drawing/2014/main" id="{00000000-0008-0000-0800-00000F5C0000}"/>
            </a:ext>
          </a:extLst>
        </xdr:cNvPr>
        <xdr:cNvSpPr>
          <a:spLocks noChangeShapeType="1"/>
        </xdr:cNvSpPr>
      </xdr:nvSpPr>
      <xdr:spPr bwMode="auto">
        <a:xfrm>
          <a:off x="295275" y="211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scene3d>
          <a:camera prst="legacyObliqueTopRight"/>
          <a:lightRig rig="legacyFlat4" dir="b"/>
        </a:scene3d>
        <a:sp3d extrusionH="100000" prstMaterial="legacyMatte">
          <a:bevelT w="13500" h="13500" prst="angle"/>
          <a:bevelB w="13500" h="13500" prst="angle"/>
          <a:extrusionClr>
            <a:srgbClr val="FFFF00"/>
          </a:extrusionClr>
        </a:sp3d>
      </xdr:spPr>
    </xdr:sp>
    <xdr:clientData/>
  </xdr:twoCellAnchor>
  <xdr:twoCellAnchor>
    <xdr:from>
      <xdr:col>9</xdr:col>
      <xdr:colOff>114300</xdr:colOff>
      <xdr:row>86</xdr:row>
      <xdr:rowOff>0</xdr:rowOff>
    </xdr:from>
    <xdr:to>
      <xdr:col>9</xdr:col>
      <xdr:colOff>190500</xdr:colOff>
      <xdr:row>86</xdr:row>
      <xdr:rowOff>0</xdr:rowOff>
    </xdr:to>
    <xdr:sp macro="" textlink="">
      <xdr:nvSpPr>
        <xdr:cNvPr id="23568" name="AutoShape 1">
          <a:extLst>
            <a:ext uri="{FF2B5EF4-FFF2-40B4-BE49-F238E27FC236}">
              <a16:creationId xmlns:a16="http://schemas.microsoft.com/office/drawing/2014/main" id="{00000000-0008-0000-0800-0000105C0000}"/>
            </a:ext>
          </a:extLst>
        </xdr:cNvPr>
        <xdr:cNvSpPr>
          <a:spLocks noChangeArrowheads="1"/>
        </xdr:cNvSpPr>
      </xdr:nvSpPr>
      <xdr:spPr bwMode="auto">
        <a:xfrm>
          <a:off x="11972925" y="211359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285750</xdr:colOff>
      <xdr:row>86</xdr:row>
      <xdr:rowOff>0</xdr:rowOff>
    </xdr:from>
    <xdr:to>
      <xdr:col>8</xdr:col>
      <xdr:colOff>238125</xdr:colOff>
      <xdr:row>86</xdr:row>
      <xdr:rowOff>0</xdr:rowOff>
    </xdr:to>
    <xdr:graphicFrame macro="">
      <xdr:nvGraphicFramePr>
        <xdr:cNvPr id="23569" name="Chart 2">
          <a:extLst>
            <a:ext uri="{FF2B5EF4-FFF2-40B4-BE49-F238E27FC236}">
              <a16:creationId xmlns:a16="http://schemas.microsoft.com/office/drawing/2014/main" id="{00000000-0008-0000-0800-000011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152400</xdr:colOff>
      <xdr:row>86</xdr:row>
      <xdr:rowOff>0</xdr:rowOff>
    </xdr:from>
    <xdr:to>
      <xdr:col>1</xdr:col>
      <xdr:colOff>152400</xdr:colOff>
      <xdr:row>86</xdr:row>
      <xdr:rowOff>0</xdr:rowOff>
    </xdr:to>
    <xdr:sp macro="" textlink="">
      <xdr:nvSpPr>
        <xdr:cNvPr id="23570" name="Line 5">
          <a:extLst>
            <a:ext uri="{FF2B5EF4-FFF2-40B4-BE49-F238E27FC236}">
              <a16:creationId xmlns:a16="http://schemas.microsoft.com/office/drawing/2014/main" id="{00000000-0008-0000-0800-0000125C0000}"/>
            </a:ext>
          </a:extLst>
        </xdr:cNvPr>
        <xdr:cNvSpPr>
          <a:spLocks noChangeShapeType="1"/>
        </xdr:cNvSpPr>
      </xdr:nvSpPr>
      <xdr:spPr bwMode="auto">
        <a:xfrm>
          <a:off x="295275" y="211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scene3d>
          <a:camera prst="legacyObliqueTopRight"/>
          <a:lightRig rig="legacyFlat4" dir="b"/>
        </a:scene3d>
        <a:sp3d extrusionH="100000" prstMaterial="legacyMatte">
          <a:bevelT w="13500" h="13500" prst="angle"/>
          <a:bevelB w="13500" h="13500" prst="angle"/>
          <a:extrusionClr>
            <a:srgbClr val="FFFF00"/>
          </a:extrusionClr>
        </a:sp3d>
      </xdr:spPr>
    </xdr:sp>
    <xdr:clientData/>
  </xdr:twoCellAnchor>
  <xdr:twoCellAnchor>
    <xdr:from>
      <xdr:col>1</xdr:col>
      <xdr:colOff>152400</xdr:colOff>
      <xdr:row>86</xdr:row>
      <xdr:rowOff>0</xdr:rowOff>
    </xdr:from>
    <xdr:to>
      <xdr:col>1</xdr:col>
      <xdr:colOff>152400</xdr:colOff>
      <xdr:row>86</xdr:row>
      <xdr:rowOff>0</xdr:rowOff>
    </xdr:to>
    <xdr:sp macro="" textlink="">
      <xdr:nvSpPr>
        <xdr:cNvPr id="23571" name="Line 6">
          <a:extLst>
            <a:ext uri="{FF2B5EF4-FFF2-40B4-BE49-F238E27FC236}">
              <a16:creationId xmlns:a16="http://schemas.microsoft.com/office/drawing/2014/main" id="{00000000-0008-0000-0800-0000135C0000}"/>
            </a:ext>
          </a:extLst>
        </xdr:cNvPr>
        <xdr:cNvSpPr>
          <a:spLocks noChangeShapeType="1"/>
        </xdr:cNvSpPr>
      </xdr:nvSpPr>
      <xdr:spPr bwMode="auto">
        <a:xfrm>
          <a:off x="295275" y="211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scene3d>
          <a:camera prst="legacyObliqueTopRight"/>
          <a:lightRig rig="legacyFlat4" dir="b"/>
        </a:scene3d>
        <a:sp3d extrusionH="100000" prstMaterial="legacyMatte">
          <a:bevelT w="13500" h="13500" prst="angle"/>
          <a:bevelB w="13500" h="13500" prst="angle"/>
          <a:extrusionClr>
            <a:srgbClr val="FFFF00"/>
          </a:extrusionClr>
        </a:sp3d>
      </xdr:spPr>
    </xdr:sp>
    <xdr:clientData/>
  </xdr:twoCellAnchor>
  <xdr:twoCellAnchor>
    <xdr:from>
      <xdr:col>1</xdr:col>
      <xdr:colOff>152400</xdr:colOff>
      <xdr:row>86</xdr:row>
      <xdr:rowOff>0</xdr:rowOff>
    </xdr:from>
    <xdr:to>
      <xdr:col>1</xdr:col>
      <xdr:colOff>152400</xdr:colOff>
      <xdr:row>86</xdr:row>
      <xdr:rowOff>0</xdr:rowOff>
    </xdr:to>
    <xdr:sp macro="" textlink="">
      <xdr:nvSpPr>
        <xdr:cNvPr id="23572" name="Line 7">
          <a:extLst>
            <a:ext uri="{FF2B5EF4-FFF2-40B4-BE49-F238E27FC236}">
              <a16:creationId xmlns:a16="http://schemas.microsoft.com/office/drawing/2014/main" id="{00000000-0008-0000-0800-0000145C0000}"/>
            </a:ext>
          </a:extLst>
        </xdr:cNvPr>
        <xdr:cNvSpPr>
          <a:spLocks noChangeShapeType="1"/>
        </xdr:cNvSpPr>
      </xdr:nvSpPr>
      <xdr:spPr bwMode="auto">
        <a:xfrm>
          <a:off x="295275" y="2113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scene3d>
          <a:camera prst="legacyObliqueTopRight"/>
          <a:lightRig rig="legacyFlat4" dir="b"/>
        </a:scene3d>
        <a:sp3d extrusionH="100000" prstMaterial="legacyMatte">
          <a:bevelT w="13500" h="13500" prst="angle"/>
          <a:bevelB w="13500" h="13500" prst="angle"/>
          <a:extrusionClr>
            <a:srgbClr val="FFFF00"/>
          </a:extrusionClr>
        </a:sp3d>
      </xdr:spPr>
    </xdr:sp>
    <xdr:clientData/>
  </xdr:twoCellAnchor>
  <xdr:twoCellAnchor>
    <xdr:from>
      <xdr:col>1</xdr:col>
      <xdr:colOff>190500</xdr:colOff>
      <xdr:row>8</xdr:row>
      <xdr:rowOff>133350</xdr:rowOff>
    </xdr:from>
    <xdr:to>
      <xdr:col>7</xdr:col>
      <xdr:colOff>133350</xdr:colOff>
      <xdr:row>44</xdr:row>
      <xdr:rowOff>76200</xdr:rowOff>
    </xdr:to>
    <xdr:graphicFrame macro="">
      <xdr:nvGraphicFramePr>
        <xdr:cNvPr id="23573" name="21 Gráfico">
          <a:extLst>
            <a:ext uri="{FF2B5EF4-FFF2-40B4-BE49-F238E27FC236}">
              <a16:creationId xmlns:a16="http://schemas.microsoft.com/office/drawing/2014/main" id="{00000000-0008-0000-0800-000015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114300</xdr:colOff>
      <xdr:row>55</xdr:row>
      <xdr:rowOff>0</xdr:rowOff>
    </xdr:from>
    <xdr:to>
      <xdr:col>9</xdr:col>
      <xdr:colOff>190500</xdr:colOff>
      <xdr:row>55</xdr:row>
      <xdr:rowOff>0</xdr:rowOff>
    </xdr:to>
    <xdr:sp macro="" textlink="">
      <xdr:nvSpPr>
        <xdr:cNvPr id="23574" name="AutoShape 1">
          <a:extLst>
            <a:ext uri="{FF2B5EF4-FFF2-40B4-BE49-F238E27FC236}">
              <a16:creationId xmlns:a16="http://schemas.microsoft.com/office/drawing/2014/main" id="{00000000-0008-0000-0800-0000165C0000}"/>
            </a:ext>
          </a:extLst>
        </xdr:cNvPr>
        <xdr:cNvSpPr>
          <a:spLocks noChangeArrowheads="1"/>
        </xdr:cNvSpPr>
      </xdr:nvSpPr>
      <xdr:spPr bwMode="auto">
        <a:xfrm>
          <a:off x="11972925" y="13439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285750</xdr:colOff>
      <xdr:row>55</xdr:row>
      <xdr:rowOff>0</xdr:rowOff>
    </xdr:from>
    <xdr:to>
      <xdr:col>8</xdr:col>
      <xdr:colOff>238125</xdr:colOff>
      <xdr:row>55</xdr:row>
      <xdr:rowOff>0</xdr:rowOff>
    </xdr:to>
    <xdr:graphicFrame macro="">
      <xdr:nvGraphicFramePr>
        <xdr:cNvPr id="23575" name="Chart 2">
          <a:extLst>
            <a:ext uri="{FF2B5EF4-FFF2-40B4-BE49-F238E27FC236}">
              <a16:creationId xmlns:a16="http://schemas.microsoft.com/office/drawing/2014/main" id="{00000000-0008-0000-0800-000017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152400</xdr:colOff>
      <xdr:row>55</xdr:row>
      <xdr:rowOff>0</xdr:rowOff>
    </xdr:from>
    <xdr:to>
      <xdr:col>1</xdr:col>
      <xdr:colOff>152400</xdr:colOff>
      <xdr:row>55</xdr:row>
      <xdr:rowOff>0</xdr:rowOff>
    </xdr:to>
    <xdr:sp macro="" textlink="">
      <xdr:nvSpPr>
        <xdr:cNvPr id="23576" name="Line 5">
          <a:extLst>
            <a:ext uri="{FF2B5EF4-FFF2-40B4-BE49-F238E27FC236}">
              <a16:creationId xmlns:a16="http://schemas.microsoft.com/office/drawing/2014/main" id="{00000000-0008-0000-0800-0000185C0000}"/>
            </a:ext>
          </a:extLst>
        </xdr:cNvPr>
        <xdr:cNvSpPr>
          <a:spLocks noChangeShapeType="1"/>
        </xdr:cNvSpPr>
      </xdr:nvSpPr>
      <xdr:spPr bwMode="auto">
        <a:xfrm>
          <a:off x="295275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scene3d>
          <a:camera prst="legacyObliqueTopRight"/>
          <a:lightRig rig="legacyFlat4" dir="b"/>
        </a:scene3d>
        <a:sp3d extrusionH="100000" prstMaterial="legacyMatte">
          <a:bevelT w="13500" h="13500" prst="angle"/>
          <a:bevelB w="13500" h="13500" prst="angle"/>
          <a:extrusionClr>
            <a:srgbClr val="FFFF00"/>
          </a:extrusionClr>
        </a:sp3d>
      </xdr:spPr>
    </xdr:sp>
    <xdr:clientData/>
  </xdr:twoCellAnchor>
  <xdr:twoCellAnchor>
    <xdr:from>
      <xdr:col>1</xdr:col>
      <xdr:colOff>152400</xdr:colOff>
      <xdr:row>55</xdr:row>
      <xdr:rowOff>0</xdr:rowOff>
    </xdr:from>
    <xdr:to>
      <xdr:col>1</xdr:col>
      <xdr:colOff>152400</xdr:colOff>
      <xdr:row>55</xdr:row>
      <xdr:rowOff>0</xdr:rowOff>
    </xdr:to>
    <xdr:sp macro="" textlink="">
      <xdr:nvSpPr>
        <xdr:cNvPr id="23577" name="Line 6">
          <a:extLst>
            <a:ext uri="{FF2B5EF4-FFF2-40B4-BE49-F238E27FC236}">
              <a16:creationId xmlns:a16="http://schemas.microsoft.com/office/drawing/2014/main" id="{00000000-0008-0000-0800-0000195C0000}"/>
            </a:ext>
          </a:extLst>
        </xdr:cNvPr>
        <xdr:cNvSpPr>
          <a:spLocks noChangeShapeType="1"/>
        </xdr:cNvSpPr>
      </xdr:nvSpPr>
      <xdr:spPr bwMode="auto">
        <a:xfrm>
          <a:off x="295275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scene3d>
          <a:camera prst="legacyObliqueTopRight"/>
          <a:lightRig rig="legacyFlat4" dir="b"/>
        </a:scene3d>
        <a:sp3d extrusionH="100000" prstMaterial="legacyMatte">
          <a:bevelT w="13500" h="13500" prst="angle"/>
          <a:bevelB w="13500" h="13500" prst="angle"/>
          <a:extrusionClr>
            <a:srgbClr val="FFFF00"/>
          </a:extrusionClr>
        </a:sp3d>
      </xdr:spPr>
    </xdr:sp>
    <xdr:clientData/>
  </xdr:twoCellAnchor>
  <xdr:twoCellAnchor>
    <xdr:from>
      <xdr:col>1</xdr:col>
      <xdr:colOff>152400</xdr:colOff>
      <xdr:row>55</xdr:row>
      <xdr:rowOff>0</xdr:rowOff>
    </xdr:from>
    <xdr:to>
      <xdr:col>1</xdr:col>
      <xdr:colOff>152400</xdr:colOff>
      <xdr:row>55</xdr:row>
      <xdr:rowOff>0</xdr:rowOff>
    </xdr:to>
    <xdr:sp macro="" textlink="">
      <xdr:nvSpPr>
        <xdr:cNvPr id="23578" name="Line 7">
          <a:extLst>
            <a:ext uri="{FF2B5EF4-FFF2-40B4-BE49-F238E27FC236}">
              <a16:creationId xmlns:a16="http://schemas.microsoft.com/office/drawing/2014/main" id="{00000000-0008-0000-0800-00001A5C0000}"/>
            </a:ext>
          </a:extLst>
        </xdr:cNvPr>
        <xdr:cNvSpPr>
          <a:spLocks noChangeShapeType="1"/>
        </xdr:cNvSpPr>
      </xdr:nvSpPr>
      <xdr:spPr bwMode="auto">
        <a:xfrm>
          <a:off x="295275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scene3d>
          <a:camera prst="legacyObliqueTopRight"/>
          <a:lightRig rig="legacyFlat4" dir="b"/>
        </a:scene3d>
        <a:sp3d extrusionH="100000" prstMaterial="legacyMatte">
          <a:bevelT w="13500" h="13500" prst="angle"/>
          <a:bevelB w="13500" h="13500" prst="angle"/>
          <a:extrusionClr>
            <a:srgbClr val="FFFF00"/>
          </a:extrusionClr>
        </a:sp3d>
      </xdr:spPr>
    </xdr:sp>
    <xdr:clientData/>
  </xdr:twoCellAnchor>
  <xdr:twoCellAnchor>
    <xdr:from>
      <xdr:col>9</xdr:col>
      <xdr:colOff>114300</xdr:colOff>
      <xdr:row>55</xdr:row>
      <xdr:rowOff>0</xdr:rowOff>
    </xdr:from>
    <xdr:to>
      <xdr:col>9</xdr:col>
      <xdr:colOff>190500</xdr:colOff>
      <xdr:row>55</xdr:row>
      <xdr:rowOff>0</xdr:rowOff>
    </xdr:to>
    <xdr:sp macro="" textlink="">
      <xdr:nvSpPr>
        <xdr:cNvPr id="23579" name="AutoShape 1">
          <a:extLst>
            <a:ext uri="{FF2B5EF4-FFF2-40B4-BE49-F238E27FC236}">
              <a16:creationId xmlns:a16="http://schemas.microsoft.com/office/drawing/2014/main" id="{00000000-0008-0000-0800-00001B5C0000}"/>
            </a:ext>
          </a:extLst>
        </xdr:cNvPr>
        <xdr:cNvSpPr>
          <a:spLocks noChangeArrowheads="1"/>
        </xdr:cNvSpPr>
      </xdr:nvSpPr>
      <xdr:spPr bwMode="auto">
        <a:xfrm>
          <a:off x="11972925" y="13439775"/>
          <a:ext cx="7620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285750</xdr:colOff>
      <xdr:row>55</xdr:row>
      <xdr:rowOff>0</xdr:rowOff>
    </xdr:from>
    <xdr:to>
      <xdr:col>8</xdr:col>
      <xdr:colOff>238125</xdr:colOff>
      <xdr:row>55</xdr:row>
      <xdr:rowOff>0</xdr:rowOff>
    </xdr:to>
    <xdr:graphicFrame macro="">
      <xdr:nvGraphicFramePr>
        <xdr:cNvPr id="23580" name="Chart 2">
          <a:extLst>
            <a:ext uri="{FF2B5EF4-FFF2-40B4-BE49-F238E27FC236}">
              <a16:creationId xmlns:a16="http://schemas.microsoft.com/office/drawing/2014/main" id="{00000000-0008-0000-0800-00001C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152400</xdr:colOff>
      <xdr:row>55</xdr:row>
      <xdr:rowOff>0</xdr:rowOff>
    </xdr:from>
    <xdr:to>
      <xdr:col>1</xdr:col>
      <xdr:colOff>152400</xdr:colOff>
      <xdr:row>55</xdr:row>
      <xdr:rowOff>0</xdr:rowOff>
    </xdr:to>
    <xdr:sp macro="" textlink="">
      <xdr:nvSpPr>
        <xdr:cNvPr id="23581" name="Line 5">
          <a:extLst>
            <a:ext uri="{FF2B5EF4-FFF2-40B4-BE49-F238E27FC236}">
              <a16:creationId xmlns:a16="http://schemas.microsoft.com/office/drawing/2014/main" id="{00000000-0008-0000-0800-00001D5C0000}"/>
            </a:ext>
          </a:extLst>
        </xdr:cNvPr>
        <xdr:cNvSpPr>
          <a:spLocks noChangeShapeType="1"/>
        </xdr:cNvSpPr>
      </xdr:nvSpPr>
      <xdr:spPr bwMode="auto">
        <a:xfrm>
          <a:off x="295275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scene3d>
          <a:camera prst="legacyObliqueTopRight"/>
          <a:lightRig rig="legacyFlat4" dir="b"/>
        </a:scene3d>
        <a:sp3d extrusionH="100000" prstMaterial="legacyMatte">
          <a:bevelT w="13500" h="13500" prst="angle"/>
          <a:bevelB w="13500" h="13500" prst="angle"/>
          <a:extrusionClr>
            <a:srgbClr val="FFFF00"/>
          </a:extrusionClr>
        </a:sp3d>
      </xdr:spPr>
    </xdr:sp>
    <xdr:clientData/>
  </xdr:twoCellAnchor>
  <xdr:twoCellAnchor>
    <xdr:from>
      <xdr:col>1</xdr:col>
      <xdr:colOff>152400</xdr:colOff>
      <xdr:row>55</xdr:row>
      <xdr:rowOff>0</xdr:rowOff>
    </xdr:from>
    <xdr:to>
      <xdr:col>1</xdr:col>
      <xdr:colOff>152400</xdr:colOff>
      <xdr:row>55</xdr:row>
      <xdr:rowOff>0</xdr:rowOff>
    </xdr:to>
    <xdr:sp macro="" textlink="">
      <xdr:nvSpPr>
        <xdr:cNvPr id="23582" name="Line 6">
          <a:extLst>
            <a:ext uri="{FF2B5EF4-FFF2-40B4-BE49-F238E27FC236}">
              <a16:creationId xmlns:a16="http://schemas.microsoft.com/office/drawing/2014/main" id="{00000000-0008-0000-0800-00001E5C0000}"/>
            </a:ext>
          </a:extLst>
        </xdr:cNvPr>
        <xdr:cNvSpPr>
          <a:spLocks noChangeShapeType="1"/>
        </xdr:cNvSpPr>
      </xdr:nvSpPr>
      <xdr:spPr bwMode="auto">
        <a:xfrm>
          <a:off x="295275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scene3d>
          <a:camera prst="legacyObliqueTopRight"/>
          <a:lightRig rig="legacyFlat4" dir="b"/>
        </a:scene3d>
        <a:sp3d extrusionH="100000" prstMaterial="legacyMatte">
          <a:bevelT w="13500" h="13500" prst="angle"/>
          <a:bevelB w="13500" h="13500" prst="angle"/>
          <a:extrusionClr>
            <a:srgbClr val="FFFF00"/>
          </a:extrusionClr>
        </a:sp3d>
      </xdr:spPr>
    </xdr:sp>
    <xdr:clientData/>
  </xdr:twoCellAnchor>
  <xdr:twoCellAnchor>
    <xdr:from>
      <xdr:col>1</xdr:col>
      <xdr:colOff>152400</xdr:colOff>
      <xdr:row>55</xdr:row>
      <xdr:rowOff>0</xdr:rowOff>
    </xdr:from>
    <xdr:to>
      <xdr:col>1</xdr:col>
      <xdr:colOff>152400</xdr:colOff>
      <xdr:row>55</xdr:row>
      <xdr:rowOff>0</xdr:rowOff>
    </xdr:to>
    <xdr:sp macro="" textlink="">
      <xdr:nvSpPr>
        <xdr:cNvPr id="23583" name="Line 7">
          <a:extLst>
            <a:ext uri="{FF2B5EF4-FFF2-40B4-BE49-F238E27FC236}">
              <a16:creationId xmlns:a16="http://schemas.microsoft.com/office/drawing/2014/main" id="{00000000-0008-0000-0800-00001F5C0000}"/>
            </a:ext>
          </a:extLst>
        </xdr:cNvPr>
        <xdr:cNvSpPr>
          <a:spLocks noChangeShapeType="1"/>
        </xdr:cNvSpPr>
      </xdr:nvSpPr>
      <xdr:spPr bwMode="auto">
        <a:xfrm>
          <a:off x="295275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scene3d>
          <a:camera prst="legacyObliqueTopRight"/>
          <a:lightRig rig="legacyFlat4" dir="b"/>
        </a:scene3d>
        <a:sp3d extrusionH="100000" prstMaterial="legacyMatte">
          <a:bevelT w="13500" h="13500" prst="angle"/>
          <a:bevelB w="13500" h="13500" prst="angle"/>
          <a:extrusionClr>
            <a:srgbClr val="FFFF00"/>
          </a:extrusionClr>
        </a:sp3d>
      </xdr:spPr>
    </xdr:sp>
    <xdr:clientData/>
  </xdr:twoCellAnchor>
  <xdr:twoCellAnchor>
    <xdr:from>
      <xdr:col>7</xdr:col>
      <xdr:colOff>418523</xdr:colOff>
      <xdr:row>9</xdr:row>
      <xdr:rowOff>0</xdr:rowOff>
    </xdr:from>
    <xdr:to>
      <xdr:col>13</xdr:col>
      <xdr:colOff>260351</xdr:colOff>
      <xdr:row>44</xdr:row>
      <xdr:rowOff>101600</xdr:rowOff>
    </xdr:to>
    <xdr:graphicFrame macro="">
      <xdr:nvGraphicFramePr>
        <xdr:cNvPr id="35" name="21 Gráfico">
          <a:extLst>
            <a:ext uri="{FF2B5EF4-FFF2-40B4-BE49-F238E27FC236}">
              <a16:creationId xmlns:a16="http://schemas.microsoft.com/office/drawing/2014/main" id="{CE5145BD-0DB6-4E92-89D7-DE6B30F092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0.00937</cdr:x>
      <cdr:y>0.02868</cdr:y>
    </cdr:from>
    <cdr:to>
      <cdr:x>0.99458</cdr:x>
      <cdr:y>0.19556</cdr:y>
    </cdr:to>
    <cdr:sp macro="" textlink="">
      <cdr:nvSpPr>
        <cdr:cNvPr id="37889" name="1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585" y="198742"/>
          <a:ext cx="8661540" cy="1138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2400" b="1" i="1" u="sng" strike="noStrike">
              <a:solidFill>
                <a:srgbClr val="FF0000"/>
              </a:solidFill>
              <a:latin typeface="Calibri"/>
            </a:rPr>
            <a:t>PARTICIPACION DE CADA LOCAL EN LA VENTA PROMEDIO </a:t>
          </a:r>
        </a:p>
        <a:p xmlns:a="http://schemas.openxmlformats.org/drawingml/2006/main">
          <a:pPr algn="ctr" rtl="0">
            <a:defRPr sz="1000"/>
          </a:pPr>
          <a:r>
            <a:rPr lang="es-ES" sz="2400" b="1" i="1" u="sng" strike="noStrike">
              <a:solidFill>
                <a:srgbClr val="FF0000"/>
              </a:solidFill>
              <a:latin typeface="Calibri"/>
            </a:rPr>
            <a:t>ANUAL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0.00937</cdr:x>
      <cdr:y>0.02868</cdr:y>
    </cdr:from>
    <cdr:to>
      <cdr:x>0.99458</cdr:x>
      <cdr:y>0.19556</cdr:y>
    </cdr:to>
    <cdr:sp macro="" textlink="">
      <cdr:nvSpPr>
        <cdr:cNvPr id="37889" name="1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585" y="198742"/>
          <a:ext cx="8661540" cy="1138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2400" b="1" i="1" u="sng" strike="noStrike">
              <a:solidFill>
                <a:srgbClr val="FF0000"/>
              </a:solidFill>
              <a:latin typeface="Calibri"/>
            </a:rPr>
            <a:t>PARTICIPACION DE CADA LOCAL EN LA VENTA PROMEDIO </a:t>
          </a:r>
        </a:p>
        <a:p xmlns:a="http://schemas.openxmlformats.org/drawingml/2006/main">
          <a:pPr algn="ctr" rtl="0">
            <a:defRPr sz="1000"/>
          </a:pPr>
          <a:r>
            <a:rPr lang="es-ES" sz="2400" b="1" i="1" u="sng" strike="noStrike">
              <a:solidFill>
                <a:srgbClr val="FF0000"/>
              </a:solidFill>
              <a:latin typeface="Calibri"/>
            </a:rPr>
            <a:t>DE</a:t>
          </a:r>
          <a:r>
            <a:rPr lang="es-ES" sz="2400" b="1" i="1" u="sng" strike="noStrike" baseline="0">
              <a:solidFill>
                <a:srgbClr val="FF0000"/>
              </a:solidFill>
              <a:latin typeface="Calibri"/>
            </a:rPr>
            <a:t>L MES PASADO (MAYO 21)</a:t>
          </a:r>
          <a:endParaRPr lang="es-ES" sz="2400" b="1" i="1" u="sng" strike="noStrike">
            <a:solidFill>
              <a:srgbClr val="FF0000"/>
            </a:solidFill>
            <a:latin typeface="Calibri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ederico.rocha\Configuraci&#243;n%20local\Archivos%20temporales%20de%20Internet\Content.IE5\US2GCUAP\VENTA%20PROYECCION%202015%20TOTAL%20A%20DICIEMBRE%202015%20COMPLET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ederico.rocha\Mis%20documentos\VENTA%20LOCAL%20%20(2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ederico.rocha\Configuraci&#243;n%20local\Archivos%20temporales%20de%20Internet\Content.IE5\US2GCUAP\VENTA%20CERRADA%202015%20CHEC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nif01t\c\Documents%20and%20Settings\usuario\Escritorio\Matias\2006\MAPAS%20ESTRATEGICOS\MAPA%20ESTRATEGICO_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 11"/>
      <sheetName val="SEPTIEMBRE 11"/>
      <sheetName val="OCTUBRE11"/>
      <sheetName val="NOVIEMBRE 11"/>
      <sheetName val="DICIEMBRE 11"/>
      <sheetName val="ENERO 12"/>
      <sheetName val="FEBRERO 12"/>
      <sheetName val="MARZO 12"/>
      <sheetName val="ABRIL 12"/>
      <sheetName val="MAYO 12"/>
      <sheetName val="JUNIO 12"/>
      <sheetName val="JULIO 12"/>
      <sheetName val="AGOSTO"/>
      <sheetName val="SEPTIRMBRE 12"/>
      <sheetName val="octubre 12"/>
      <sheetName val="NOVIEMBRE 12"/>
      <sheetName val="DICIEMBRE 12"/>
      <sheetName val="ENERO 13"/>
      <sheetName val="FEBRERO 13"/>
      <sheetName val="MARZO 13"/>
      <sheetName val="ABRIL 13"/>
      <sheetName val="MAYO 13"/>
      <sheetName val="JUNIO 13"/>
      <sheetName val="JULIO 13"/>
      <sheetName val="AGOSTO 13"/>
      <sheetName val="SEPTIEMBRE 13"/>
      <sheetName val="OCTUBRE 13"/>
      <sheetName val="NOVIEMBRE 13"/>
      <sheetName val="DICIEMBRE 13"/>
      <sheetName val="ENERO 14"/>
      <sheetName val="FEBRERO 14"/>
      <sheetName val="marzo 14"/>
      <sheetName val="ABRIL 14"/>
      <sheetName val="mayo 14"/>
      <sheetName val="junio 14"/>
      <sheetName val="julio 14"/>
      <sheetName val="agosto 14"/>
      <sheetName val="septiembre 14"/>
      <sheetName val="Octubre 14"/>
      <sheetName val="Noviembre 14"/>
      <sheetName val="Diciembre 14"/>
      <sheetName val="Enero 15"/>
      <sheetName val="Febrero 15"/>
      <sheetName val="Marzo 15"/>
      <sheetName val="Abril 15"/>
      <sheetName val="Mayo 15"/>
      <sheetName val="Junio 15"/>
      <sheetName val="Julio 15"/>
      <sheetName val="Agosto 15"/>
      <sheetName val="Setiembre 15"/>
      <sheetName val="Octubre 15"/>
      <sheetName val="Noviembre 15"/>
      <sheetName val="Diciembre 15"/>
      <sheetName val="Enero 16"/>
      <sheetName val="Recaudacion"/>
      <sheetName val="PROYECCION 2016"/>
      <sheetName val="Porcentajes"/>
    </sheetNames>
    <sheetDataSet>
      <sheetData sheetId="0"/>
      <sheetData sheetId="1"/>
      <sheetData sheetId="2"/>
      <sheetData sheetId="3"/>
      <sheetData sheetId="4"/>
      <sheetData sheetId="5">
        <row r="30">
          <cell r="H30">
            <v>422498.89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4">
          <cell r="H34">
            <v>706295.9</v>
          </cell>
        </row>
      </sheetData>
      <sheetData sheetId="19">
        <row r="29">
          <cell r="H29">
            <v>1284890.8</v>
          </cell>
        </row>
      </sheetData>
      <sheetData sheetId="20">
        <row r="30">
          <cell r="H30">
            <v>1289737.5</v>
          </cell>
        </row>
      </sheetData>
      <sheetData sheetId="21">
        <row r="28">
          <cell r="H28">
            <v>1579710.37</v>
          </cell>
        </row>
      </sheetData>
      <sheetData sheetId="22">
        <row r="28">
          <cell r="H28">
            <v>1567274.9500000002</v>
          </cell>
        </row>
      </sheetData>
      <sheetData sheetId="23">
        <row r="30">
          <cell r="H30">
            <v>1536873.31</v>
          </cell>
        </row>
      </sheetData>
      <sheetData sheetId="24">
        <row r="33">
          <cell r="H33">
            <v>1259712.54</v>
          </cell>
        </row>
      </sheetData>
      <sheetData sheetId="25">
        <row r="34">
          <cell r="H34">
            <v>1313318.2000000002</v>
          </cell>
        </row>
      </sheetData>
      <sheetData sheetId="26">
        <row r="35">
          <cell r="H35">
            <v>1519295.26</v>
          </cell>
        </row>
      </sheetData>
      <sheetData sheetId="27">
        <row r="33">
          <cell r="H33">
            <v>1387633.47</v>
          </cell>
        </row>
      </sheetData>
      <sheetData sheetId="28">
        <row r="34">
          <cell r="H34">
            <v>2067237.56</v>
          </cell>
        </row>
      </sheetData>
      <sheetData sheetId="29">
        <row r="33">
          <cell r="B33">
            <v>173566.75</v>
          </cell>
          <cell r="C33">
            <v>51098.100000000006</v>
          </cell>
          <cell r="D33">
            <v>212633.44</v>
          </cell>
          <cell r="E33">
            <v>123283.05</v>
          </cell>
          <cell r="F33">
            <v>124655.75</v>
          </cell>
          <cell r="G33">
            <v>42186.45</v>
          </cell>
          <cell r="H33">
            <v>682688.24</v>
          </cell>
        </row>
      </sheetData>
      <sheetData sheetId="30">
        <row r="33">
          <cell r="B33">
            <v>278985.09999999998</v>
          </cell>
          <cell r="C33">
            <v>116659.25</v>
          </cell>
          <cell r="D33">
            <v>339729.4</v>
          </cell>
          <cell r="E33">
            <v>151515.25</v>
          </cell>
          <cell r="F33">
            <v>206727.2</v>
          </cell>
          <cell r="G33">
            <v>69618.75</v>
          </cell>
          <cell r="H33">
            <v>1163234.95</v>
          </cell>
        </row>
      </sheetData>
      <sheetData sheetId="31">
        <row r="33">
          <cell r="B33">
            <v>395789.1</v>
          </cell>
          <cell r="C33">
            <v>168219.23</v>
          </cell>
          <cell r="D33">
            <v>475141.81</v>
          </cell>
          <cell r="E33">
            <v>205930.5</v>
          </cell>
          <cell r="F33">
            <v>260795</v>
          </cell>
          <cell r="G33">
            <v>94936.26</v>
          </cell>
          <cell r="H33">
            <v>1555968.9000000001</v>
          </cell>
        </row>
      </sheetData>
      <sheetData sheetId="32">
        <row r="36">
          <cell r="B36">
            <v>402341.96</v>
          </cell>
          <cell r="C36">
            <v>142206.46</v>
          </cell>
          <cell r="D36">
            <v>642211.85</v>
          </cell>
          <cell r="E36">
            <v>231657.65999999995</v>
          </cell>
          <cell r="F36">
            <v>291168.09999999998</v>
          </cell>
          <cell r="G36">
            <v>138924.12</v>
          </cell>
          <cell r="H36">
            <v>1848510.1500000001</v>
          </cell>
        </row>
      </sheetData>
      <sheetData sheetId="33">
        <row r="33">
          <cell r="B33">
            <v>422225.55999999994</v>
          </cell>
          <cell r="C33">
            <v>144239.25000000003</v>
          </cell>
          <cell r="D33">
            <v>581614.84000000008</v>
          </cell>
          <cell r="E33">
            <v>233649.9</v>
          </cell>
          <cell r="F33">
            <v>280820.40000000002</v>
          </cell>
          <cell r="G33">
            <v>98990.62</v>
          </cell>
          <cell r="I33">
            <v>1995190.4699999997</v>
          </cell>
        </row>
      </sheetData>
      <sheetData sheetId="34">
        <row r="33">
          <cell r="B33">
            <v>448166.49</v>
          </cell>
          <cell r="C33">
            <v>137414.94999999998</v>
          </cell>
          <cell r="D33">
            <v>499193.85</v>
          </cell>
          <cell r="E33">
            <v>224402.05</v>
          </cell>
          <cell r="F33">
            <v>304728.27999999997</v>
          </cell>
          <cell r="G33">
            <v>119446.06</v>
          </cell>
          <cell r="H33">
            <v>1733351.6800000002</v>
          </cell>
        </row>
      </sheetData>
      <sheetData sheetId="35">
        <row r="33">
          <cell r="B33">
            <v>470821.49999999994</v>
          </cell>
          <cell r="C33">
            <v>145350.63</v>
          </cell>
          <cell r="D33">
            <v>568318.71</v>
          </cell>
          <cell r="E33">
            <v>243642.5</v>
          </cell>
          <cell r="F33">
            <v>320522.14999999997</v>
          </cell>
          <cell r="G33">
            <v>127928.45000000001</v>
          </cell>
          <cell r="H33">
            <v>1809851.1400000001</v>
          </cell>
        </row>
      </sheetData>
      <sheetData sheetId="36">
        <row r="33">
          <cell r="B33">
            <v>476817.2</v>
          </cell>
          <cell r="C33">
            <v>178407.78999999998</v>
          </cell>
          <cell r="D33">
            <v>533422.80000000005</v>
          </cell>
          <cell r="E33">
            <v>288145.5</v>
          </cell>
          <cell r="F33">
            <v>366632.27000000008</v>
          </cell>
          <cell r="G33">
            <v>162100.19999999998</v>
          </cell>
          <cell r="H33">
            <v>2005525.76</v>
          </cell>
        </row>
      </sheetData>
      <sheetData sheetId="37">
        <row r="33">
          <cell r="B33">
            <v>392939.55</v>
          </cell>
          <cell r="C33">
            <v>157494.6</v>
          </cell>
          <cell r="D33">
            <v>683280.4</v>
          </cell>
          <cell r="E33">
            <v>269275.91000000003</v>
          </cell>
          <cell r="F33">
            <v>304551.8</v>
          </cell>
          <cell r="G33">
            <v>142302.53</v>
          </cell>
          <cell r="H33">
            <v>1949844.79</v>
          </cell>
        </row>
      </sheetData>
      <sheetData sheetId="38">
        <row r="33">
          <cell r="B33">
            <v>499905.55000000005</v>
          </cell>
          <cell r="C33">
            <v>191989.1</v>
          </cell>
          <cell r="D33">
            <v>839081.83000000007</v>
          </cell>
          <cell r="E33">
            <v>318249</v>
          </cell>
          <cell r="F33">
            <v>409321.2</v>
          </cell>
          <cell r="G33">
            <v>188282.55000000002</v>
          </cell>
          <cell r="H33">
            <v>2355817.73</v>
          </cell>
        </row>
      </sheetData>
      <sheetData sheetId="39">
        <row r="33">
          <cell r="B33">
            <v>517953.39999999997</v>
          </cell>
          <cell r="C33">
            <v>177672</v>
          </cell>
          <cell r="D33">
            <v>592588.9</v>
          </cell>
          <cell r="E33">
            <v>222815.95</v>
          </cell>
          <cell r="F33">
            <v>352450.55</v>
          </cell>
          <cell r="G33">
            <v>177314.6</v>
          </cell>
          <cell r="H33">
            <v>2040795.4000000001</v>
          </cell>
        </row>
      </sheetData>
      <sheetData sheetId="40">
        <row r="33">
          <cell r="B33">
            <v>755284.24</v>
          </cell>
          <cell r="C33">
            <v>300364</v>
          </cell>
          <cell r="D33">
            <v>1223406.72</v>
          </cell>
          <cell r="E33">
            <v>404548</v>
          </cell>
          <cell r="F33">
            <v>491154</v>
          </cell>
          <cell r="G33">
            <v>223197.72000000003</v>
          </cell>
          <cell r="H33">
            <v>3304697.68</v>
          </cell>
        </row>
      </sheetData>
      <sheetData sheetId="41">
        <row r="33">
          <cell r="B33">
            <v>234060.95</v>
          </cell>
          <cell r="C33">
            <v>118417</v>
          </cell>
          <cell r="D33">
            <v>387693.24</v>
          </cell>
          <cell r="E33">
            <v>168670.1</v>
          </cell>
          <cell r="F33">
            <v>169568.56</v>
          </cell>
          <cell r="G33">
            <v>86475.25</v>
          </cell>
          <cell r="H33">
            <v>1164885.0999999999</v>
          </cell>
        </row>
      </sheetData>
      <sheetData sheetId="42">
        <row r="33">
          <cell r="B33">
            <v>291016</v>
          </cell>
          <cell r="C33">
            <v>138989.9</v>
          </cell>
          <cell r="D33">
            <v>463142.5</v>
          </cell>
          <cell r="E33">
            <v>156039</v>
          </cell>
          <cell r="F33">
            <v>232456.5</v>
          </cell>
          <cell r="G33">
            <v>106626.7</v>
          </cell>
          <cell r="H33">
            <v>1388270.6</v>
          </cell>
        </row>
      </sheetData>
      <sheetData sheetId="43">
        <row r="33">
          <cell r="H33">
            <v>1905877.45</v>
          </cell>
        </row>
      </sheetData>
      <sheetData sheetId="44">
        <row r="33">
          <cell r="B33">
            <v>588360.25</v>
          </cell>
          <cell r="C33">
            <v>175374.25</v>
          </cell>
          <cell r="D33">
            <v>960022.64999999991</v>
          </cell>
          <cell r="E33">
            <v>283867.93</v>
          </cell>
          <cell r="F33">
            <v>434703.19999999995</v>
          </cell>
          <cell r="G33">
            <v>234300.00000000003</v>
          </cell>
          <cell r="H33">
            <v>171330</v>
          </cell>
          <cell r="I33">
            <v>2847958.28</v>
          </cell>
        </row>
      </sheetData>
      <sheetData sheetId="45">
        <row r="33">
          <cell r="B33">
            <v>689334.9</v>
          </cell>
          <cell r="C33">
            <v>172279.6</v>
          </cell>
          <cell r="D33">
            <v>1017310.45</v>
          </cell>
          <cell r="E33">
            <v>300226.95999999996</v>
          </cell>
          <cell r="F33">
            <v>439670.39999999997</v>
          </cell>
          <cell r="G33">
            <v>109343.9</v>
          </cell>
          <cell r="H33">
            <v>470391</v>
          </cell>
          <cell r="I33">
            <v>210869</v>
          </cell>
          <cell r="J33">
            <v>3409426.21</v>
          </cell>
        </row>
        <row r="35">
          <cell r="C35">
            <v>5.0530379421234055E-2</v>
          </cell>
          <cell r="D35">
            <v>0.29838171801934965</v>
          </cell>
          <cell r="E35">
            <v>8.8057914003072085E-2</v>
          </cell>
          <cell r="F35">
            <v>0.12895730041331499</v>
          </cell>
          <cell r="G35">
            <v>3.2071056320060375E-2</v>
          </cell>
          <cell r="H35">
            <v>0.13796779018719399</v>
          </cell>
        </row>
      </sheetData>
      <sheetData sheetId="46">
        <row r="33">
          <cell r="B33">
            <v>558022.25</v>
          </cell>
          <cell r="C33">
            <v>150821.25</v>
          </cell>
          <cell r="D33">
            <v>966780.79999999993</v>
          </cell>
          <cell r="E33">
            <v>278807.25</v>
          </cell>
          <cell r="F33">
            <v>389090.75</v>
          </cell>
          <cell r="G33">
            <v>460208.6</v>
          </cell>
          <cell r="H33">
            <v>532911</v>
          </cell>
          <cell r="I33">
            <v>3336641.9</v>
          </cell>
        </row>
      </sheetData>
      <sheetData sheetId="47">
        <row r="34">
          <cell r="B34">
            <v>729404.2</v>
          </cell>
          <cell r="C34">
            <v>1037613.65</v>
          </cell>
          <cell r="D34">
            <v>374791.15</v>
          </cell>
          <cell r="E34">
            <v>472651.85</v>
          </cell>
          <cell r="F34">
            <v>559333</v>
          </cell>
          <cell r="G34">
            <v>713387.5</v>
          </cell>
          <cell r="H34">
            <v>3887181.35</v>
          </cell>
        </row>
        <row r="35">
          <cell r="B35">
            <v>0.18764347076320478</v>
          </cell>
          <cell r="C35">
            <v>0.26693214351833622</v>
          </cell>
          <cell r="D35">
            <v>9.6417202145714143E-2</v>
          </cell>
          <cell r="E35">
            <v>0.12159243612341368</v>
          </cell>
          <cell r="F35">
            <v>0.14389166587249652</v>
          </cell>
          <cell r="G35">
            <v>0.18352308157683458</v>
          </cell>
        </row>
      </sheetData>
      <sheetData sheetId="48">
        <row r="34">
          <cell r="B34">
            <v>550827.75</v>
          </cell>
          <cell r="C34">
            <v>771902.7</v>
          </cell>
          <cell r="D34">
            <v>263785.51</v>
          </cell>
          <cell r="E34">
            <v>378681.4</v>
          </cell>
          <cell r="F34">
            <v>469376.1</v>
          </cell>
          <cell r="G34">
            <v>488500.5</v>
          </cell>
          <cell r="H34">
            <v>2923073.96</v>
          </cell>
        </row>
        <row r="36">
          <cell r="B36">
            <v>0.18844126338835437</v>
          </cell>
          <cell r="C36">
            <v>0.26407224400165363</v>
          </cell>
          <cell r="D36">
            <v>9.0242502793189683E-2</v>
          </cell>
          <cell r="E36">
            <v>0.12954903132180756</v>
          </cell>
          <cell r="F36">
            <v>0.16057619698408179</v>
          </cell>
          <cell r="G36">
            <v>0.16711876151091298</v>
          </cell>
        </row>
      </sheetData>
      <sheetData sheetId="49">
        <row r="33">
          <cell r="B33">
            <v>638139.85</v>
          </cell>
          <cell r="C33">
            <v>915511.37</v>
          </cell>
          <cell r="D33">
            <v>332927.44999999995</v>
          </cell>
          <cell r="E33">
            <v>396486.2</v>
          </cell>
          <cell r="F33">
            <v>480370</v>
          </cell>
          <cell r="G33">
            <v>583736.65</v>
          </cell>
          <cell r="I33">
            <v>3449788.52</v>
          </cell>
        </row>
      </sheetData>
      <sheetData sheetId="50"/>
      <sheetData sheetId="51">
        <row r="35">
          <cell r="C35">
            <v>616278</v>
          </cell>
          <cell r="E35">
            <v>940159.5</v>
          </cell>
          <cell r="G35">
            <v>401169.80000000005</v>
          </cell>
          <cell r="I35">
            <v>499045</v>
          </cell>
          <cell r="K35">
            <v>448184.95</v>
          </cell>
          <cell r="M35">
            <v>644171.1</v>
          </cell>
          <cell r="P35">
            <v>3980401.35</v>
          </cell>
        </row>
      </sheetData>
      <sheetData sheetId="52">
        <row r="36">
          <cell r="H36">
            <v>796985</v>
          </cell>
          <cell r="J36">
            <v>615601</v>
          </cell>
        </row>
        <row r="37">
          <cell r="C37">
            <v>822629.39999999991</v>
          </cell>
          <cell r="E37">
            <v>1586927.26</v>
          </cell>
          <cell r="G37">
            <v>665763</v>
          </cell>
          <cell r="M37">
            <v>1007571.7</v>
          </cell>
          <cell r="P37">
            <v>6043890.3599999994</v>
          </cell>
        </row>
      </sheetData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 11"/>
      <sheetName val="SEPTIEMBRE 11"/>
      <sheetName val="OCTUBRE11"/>
      <sheetName val="NOVIEMBRE 11"/>
      <sheetName val="DICIEMBRE 11"/>
      <sheetName val="ENERO 12"/>
      <sheetName val="FEBRERO 12"/>
      <sheetName val="MARZO 12"/>
      <sheetName val="ABRIL 12"/>
      <sheetName val="MAYO 12"/>
      <sheetName val="JUNIO 12"/>
      <sheetName val="JULIO 12"/>
      <sheetName val="AGOSTO"/>
      <sheetName val="SEPTIRMBRE 12"/>
      <sheetName val="octubre 12"/>
      <sheetName val="NOVIEMBRE 12"/>
      <sheetName val="DICIEMBRE 12"/>
      <sheetName val="ENERO 13"/>
      <sheetName val="FEBRERO 13"/>
      <sheetName val="MARZO 13"/>
      <sheetName val="ABRIL 13"/>
      <sheetName val="MAYO 13"/>
      <sheetName val="JUNIO 13"/>
      <sheetName val="JULIO 13"/>
      <sheetName val="AGOSTO 13"/>
      <sheetName val="SEPTIEMBRE 13"/>
      <sheetName val="OCTUBRE 13"/>
      <sheetName val="NOVIEMBRE 13"/>
      <sheetName val="DICIEMBRE 13"/>
      <sheetName val="ENERO 14"/>
      <sheetName val="FEBRERO 14"/>
      <sheetName val="marzo 14"/>
      <sheetName val="ABRIL 14"/>
      <sheetName val="mayo 14"/>
      <sheetName val="junio 14"/>
      <sheetName val="julio 14"/>
      <sheetName val="agosto 14"/>
      <sheetName val="septiembre 14"/>
      <sheetName val="Octubre 14"/>
      <sheetName val="Noviembre 14"/>
      <sheetName val="Diciembre 14"/>
      <sheetName val="Enero 15"/>
      <sheetName val="Febrero 15"/>
      <sheetName val="Marzo 15"/>
      <sheetName val="ABRIL 15"/>
      <sheetName val="Mayo 15"/>
      <sheetName val="JUNIO 15"/>
      <sheetName val="JULIO 15"/>
      <sheetName val="AGOSTO 15"/>
      <sheetName val="SEP 15"/>
      <sheetName val="Oct 15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37">
          <cell r="P37">
            <v>4951300.63</v>
          </cell>
        </row>
      </sheetData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 11"/>
      <sheetName val="SEPTIEMBRE 11"/>
      <sheetName val="OCTUBRE11"/>
      <sheetName val="NOVIEMBRE 11"/>
      <sheetName val="DICIEMBRE 11"/>
      <sheetName val="ENERO 12"/>
      <sheetName val="FEBRERO 12"/>
      <sheetName val="MARZO 12"/>
      <sheetName val="ABRIL 12"/>
      <sheetName val="MAYO 12"/>
      <sheetName val="JUNIO 12"/>
      <sheetName val="JULIO 12"/>
      <sheetName val="AGOSTO"/>
      <sheetName val="SEPTIRMBRE 12"/>
      <sheetName val="octubre 12"/>
      <sheetName val="NOVIEMBRE 12"/>
      <sheetName val="DICIEMBRE 12"/>
      <sheetName val="ENERO 13"/>
      <sheetName val="FEBRERO 13"/>
      <sheetName val="MARZO 13"/>
      <sheetName val="ABRIL 13"/>
      <sheetName val="MAYO 13"/>
      <sheetName val="JUNIO 13"/>
      <sheetName val="JULIO 13"/>
      <sheetName val="AGOSTO 13"/>
      <sheetName val="SEPTIEMBRE 13"/>
      <sheetName val="OCTUBRE 13"/>
      <sheetName val="NOVIEMBRE 13"/>
      <sheetName val="DICIEMBRE 13"/>
      <sheetName val="ENERO 14"/>
      <sheetName val="FEBRERO 14"/>
      <sheetName val="marzo 14"/>
      <sheetName val="ABRIL 14"/>
      <sheetName val="mayo 14"/>
      <sheetName val="junio 14"/>
      <sheetName val="julio 14"/>
      <sheetName val="agosto 14"/>
      <sheetName val="septiembre 14"/>
      <sheetName val="Octubre 14"/>
      <sheetName val="Noviembre 14"/>
      <sheetName val="Diciembre 14"/>
      <sheetName val="Enero 15"/>
      <sheetName val="Febrero 15"/>
      <sheetName val="Marzo 15"/>
      <sheetName val="Abril 15"/>
      <sheetName val="Mayo 15"/>
      <sheetName val="Junio 15"/>
      <sheetName val="Julio 15"/>
      <sheetName val="Agosto 15"/>
      <sheetName val="Setiembre 15"/>
      <sheetName val="Octubre 15"/>
      <sheetName val="Noviembre 15"/>
      <sheetName val="Diciembre 15"/>
      <sheetName val="Recaudacion"/>
      <sheetName val="PROYECCION 2016"/>
      <sheetName val="Porcentaj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52">
          <cell r="C52" t="str">
            <v>Ene</v>
          </cell>
          <cell r="D52" t="str">
            <v>Feb</v>
          </cell>
          <cell r="E52" t="str">
            <v>Mar</v>
          </cell>
          <cell r="F52" t="str">
            <v>Abr</v>
          </cell>
          <cell r="G52" t="str">
            <v>May</v>
          </cell>
          <cell r="H52" t="str">
            <v>Jun</v>
          </cell>
          <cell r="I52" t="str">
            <v>Jul</v>
          </cell>
          <cell r="J52" t="str">
            <v>Ago</v>
          </cell>
          <cell r="K52" t="str">
            <v>Sep</v>
          </cell>
          <cell r="L52" t="str">
            <v>set</v>
          </cell>
          <cell r="M52" t="str">
            <v>oct</v>
          </cell>
          <cell r="N52" t="str">
            <v>nov</v>
          </cell>
          <cell r="O52" t="str">
            <v>dic</v>
          </cell>
        </row>
        <row r="60">
          <cell r="B60" t="str">
            <v>Cant de Ventas</v>
          </cell>
          <cell r="C60">
            <v>1955</v>
          </cell>
          <cell r="D60">
            <v>2298</v>
          </cell>
          <cell r="E60">
            <v>3051</v>
          </cell>
          <cell r="F60">
            <v>4313</v>
          </cell>
          <cell r="G60">
            <v>5549</v>
          </cell>
          <cell r="H60">
            <v>4835</v>
          </cell>
          <cell r="I60">
            <v>6482</v>
          </cell>
          <cell r="J60">
            <v>6755</v>
          </cell>
          <cell r="L60">
            <v>6700</v>
          </cell>
          <cell r="M60">
            <v>8720</v>
          </cell>
          <cell r="N60">
            <v>6558</v>
          </cell>
          <cell r="O60">
            <v>12490</v>
          </cell>
        </row>
      </sheetData>
      <sheetData sheetId="54"/>
      <sheetData sheetId="5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RO"/>
      <sheetName val="IE 1A"/>
      <sheetName val="IE 1B"/>
      <sheetName val="IE 1C"/>
      <sheetName val="IE 2A"/>
      <sheetName val="IE 2B"/>
      <sheetName val="IE 3A"/>
      <sheetName val="IE 3B"/>
      <sheetName val="IE 3C"/>
      <sheetName val="IE 4A"/>
      <sheetName val="IE 4B"/>
      <sheetName val="IE 5A"/>
      <sheetName val="IE 5B"/>
      <sheetName val="IE 6A"/>
      <sheetName val="IE 7A"/>
      <sheetName val="IE 8A"/>
      <sheetName val="IE 8B"/>
      <sheetName val="IE 8C"/>
      <sheetName val="IE 8D"/>
      <sheetName val="IE 8E"/>
      <sheetName val="IE 8F"/>
      <sheetName val="IE 9A"/>
      <sheetName val="IE 10A"/>
      <sheetName val="IE 11A"/>
      <sheetName val="IE 12A"/>
      <sheetName val="IE 13A"/>
      <sheetName val="IE 13B"/>
      <sheetName val="IE 14A"/>
      <sheetName val="IE 14B"/>
      <sheetName val="BORRAD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0">
          <cell r="D40" t="str">
            <v>ENERO</v>
          </cell>
          <cell r="E40" t="str">
            <v>FEBRERO</v>
          </cell>
        </row>
        <row r="41">
          <cell r="D41">
            <v>0</v>
          </cell>
          <cell r="E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"/>
  <sheetViews>
    <sheetView topLeftCell="E7" workbookViewId="0">
      <selection activeCell="P42" sqref="P42"/>
    </sheetView>
  </sheetViews>
  <sheetFormatPr baseColWidth="10" defaultRowHeight="12.75" x14ac:dyDescent="0.2"/>
  <cols>
    <col min="1" max="1" width="22.7109375" bestFit="1" customWidth="1"/>
    <col min="2" max="2" width="14.42578125" bestFit="1" customWidth="1"/>
    <col min="3" max="4" width="12.85546875" bestFit="1" customWidth="1"/>
    <col min="5" max="5" width="13.28515625" bestFit="1" customWidth="1"/>
    <col min="6" max="6" width="12.85546875" bestFit="1" customWidth="1"/>
    <col min="7" max="7" width="14.42578125" bestFit="1" customWidth="1"/>
    <col min="8" max="11" width="12.85546875" bestFit="1" customWidth="1"/>
    <col min="12" max="12" width="14.42578125" bestFit="1" customWidth="1"/>
    <col min="13" max="13" width="13.28515625" bestFit="1" customWidth="1"/>
    <col min="14" max="15" width="12.85546875" bestFit="1" customWidth="1"/>
    <col min="16" max="16" width="15.5703125" customWidth="1"/>
    <col min="17" max="17" width="14.42578125" bestFit="1" customWidth="1"/>
  </cols>
  <sheetData>
    <row r="1" spans="1:16" ht="16.5" thickBot="1" x14ac:dyDescent="0.3">
      <c r="A1" s="1" t="s">
        <v>0</v>
      </c>
      <c r="B1" s="649" t="s">
        <v>1</v>
      </c>
      <c r="C1" s="650"/>
      <c r="D1" s="649">
        <v>48</v>
      </c>
      <c r="E1" s="650"/>
      <c r="F1" s="654" t="s">
        <v>2</v>
      </c>
      <c r="G1" s="655"/>
      <c r="H1" s="649" t="s">
        <v>3</v>
      </c>
      <c r="I1" s="650"/>
      <c r="J1" s="654">
        <v>12</v>
      </c>
      <c r="K1" s="655"/>
      <c r="L1" s="654">
        <v>49</v>
      </c>
      <c r="M1" s="655"/>
      <c r="N1" s="649" t="s">
        <v>4</v>
      </c>
      <c r="O1" s="650"/>
      <c r="P1" s="2" t="s">
        <v>5</v>
      </c>
    </row>
    <row r="2" spans="1:16" ht="16.5" thickBot="1" x14ac:dyDescent="0.3">
      <c r="A2" s="1"/>
      <c r="B2" s="3" t="s">
        <v>6</v>
      </c>
      <c r="C2" s="4" t="s">
        <v>7</v>
      </c>
      <c r="D2" s="3" t="s">
        <v>6</v>
      </c>
      <c r="E2" s="4" t="s">
        <v>7</v>
      </c>
      <c r="F2" s="5" t="s">
        <v>6</v>
      </c>
      <c r="G2" s="6" t="s">
        <v>7</v>
      </c>
      <c r="H2" s="3" t="s">
        <v>6</v>
      </c>
      <c r="I2" s="4" t="s">
        <v>7</v>
      </c>
      <c r="J2" s="5" t="s">
        <v>6</v>
      </c>
      <c r="K2" s="6" t="s">
        <v>7</v>
      </c>
      <c r="L2" s="5" t="s">
        <v>6</v>
      </c>
      <c r="M2" s="6" t="s">
        <v>7</v>
      </c>
      <c r="N2" s="3" t="s">
        <v>6</v>
      </c>
      <c r="O2" s="4" t="s">
        <v>7</v>
      </c>
      <c r="P2" s="2"/>
    </row>
    <row r="3" spans="1:16" s="13" customFormat="1" ht="13.5" thickBot="1" x14ac:dyDescent="0.25">
      <c r="A3" s="7">
        <v>42370</v>
      </c>
      <c r="B3" s="8"/>
      <c r="C3" s="9"/>
      <c r="D3" s="8"/>
      <c r="E3" s="10"/>
      <c r="F3" s="11"/>
      <c r="G3" s="10"/>
      <c r="H3" s="11"/>
      <c r="I3" s="10"/>
      <c r="J3" s="11"/>
      <c r="K3" s="10"/>
      <c r="L3" s="11"/>
      <c r="M3" s="10"/>
      <c r="N3" s="11"/>
      <c r="O3" s="10"/>
      <c r="P3" s="12">
        <f>SUM(B3:O3)</f>
        <v>0</v>
      </c>
    </row>
    <row r="4" spans="1:16" ht="13.5" thickBot="1" x14ac:dyDescent="0.25">
      <c r="A4" s="14">
        <v>42371</v>
      </c>
      <c r="B4" s="15"/>
      <c r="C4" s="16"/>
      <c r="D4" s="17">
        <f>9931+1796</f>
        <v>11727</v>
      </c>
      <c r="E4" s="18">
        <f>858+18373</f>
        <v>19231</v>
      </c>
      <c r="F4" s="19">
        <v>6281</v>
      </c>
      <c r="G4" s="18">
        <f>2597+9627</f>
        <v>12224</v>
      </c>
      <c r="H4" s="19">
        <v>6620</v>
      </c>
      <c r="I4" s="18">
        <v>12593</v>
      </c>
      <c r="J4" s="19">
        <v>6978</v>
      </c>
      <c r="K4" s="18">
        <f>259+9477</f>
        <v>9736</v>
      </c>
      <c r="L4" s="19">
        <v>9603</v>
      </c>
      <c r="M4" s="18">
        <f>677+11434</f>
        <v>12111</v>
      </c>
      <c r="N4" s="19">
        <v>891</v>
      </c>
      <c r="O4" s="16">
        <f>1407+2892</f>
        <v>4299</v>
      </c>
      <c r="P4" s="20">
        <f t="shared" ref="P4:P33" si="0">SUM(B4:O4)</f>
        <v>112294</v>
      </c>
    </row>
    <row r="5" spans="1:16" s="13" customFormat="1" ht="13.5" thickBot="1" x14ac:dyDescent="0.25">
      <c r="A5" s="7">
        <v>42372</v>
      </c>
      <c r="B5" s="8"/>
      <c r="C5" s="21"/>
      <c r="D5" s="8"/>
      <c r="E5" s="21"/>
      <c r="F5" s="22"/>
      <c r="G5" s="23"/>
      <c r="H5" s="22"/>
      <c r="I5" s="23"/>
      <c r="J5" s="22"/>
      <c r="K5" s="23"/>
      <c r="L5" s="22"/>
      <c r="M5" s="23"/>
      <c r="N5" s="22"/>
      <c r="O5" s="21"/>
      <c r="P5" s="12">
        <f t="shared" si="0"/>
        <v>0</v>
      </c>
    </row>
    <row r="6" spans="1:16" ht="13.5" thickBot="1" x14ac:dyDescent="0.25">
      <c r="A6" s="14">
        <v>42373</v>
      </c>
      <c r="B6" s="15">
        <f>4140+644+2220</f>
        <v>7004</v>
      </c>
      <c r="C6" s="16">
        <f>2298+10250</f>
        <v>12548</v>
      </c>
      <c r="D6" s="17">
        <f>10451+159</f>
        <v>10610</v>
      </c>
      <c r="E6" s="16">
        <f>1415+17651</f>
        <v>19066</v>
      </c>
      <c r="F6" s="17">
        <v>5763</v>
      </c>
      <c r="G6" s="16">
        <f>1728+6443</f>
        <v>8171</v>
      </c>
      <c r="H6" s="17">
        <f>4160+2306</f>
        <v>6466</v>
      </c>
      <c r="I6" s="16">
        <v>5506</v>
      </c>
      <c r="J6" s="17">
        <f>6258+796</f>
        <v>7054</v>
      </c>
      <c r="K6" s="16">
        <f>506+4556</f>
        <v>5062</v>
      </c>
      <c r="L6" s="17">
        <f>3316+3428</f>
        <v>6744</v>
      </c>
      <c r="M6" s="16">
        <f>100+8105</f>
        <v>8205</v>
      </c>
      <c r="N6" s="17">
        <v>2585</v>
      </c>
      <c r="O6" s="16">
        <f>189+218</f>
        <v>407</v>
      </c>
      <c r="P6" s="20">
        <f t="shared" si="0"/>
        <v>105191</v>
      </c>
    </row>
    <row r="7" spans="1:16" ht="13.5" thickBot="1" x14ac:dyDescent="0.25">
      <c r="A7" s="14">
        <v>42374</v>
      </c>
      <c r="B7" s="15">
        <v>4648</v>
      </c>
      <c r="C7" s="16">
        <f>1960+12190</f>
        <v>14150</v>
      </c>
      <c r="D7" s="17">
        <f>8317+2264</f>
        <v>10581</v>
      </c>
      <c r="E7" s="16">
        <f>6706+20906</f>
        <v>27612</v>
      </c>
      <c r="F7" s="17">
        <v>5296</v>
      </c>
      <c r="G7" s="16">
        <v>10830.6</v>
      </c>
      <c r="H7" s="17">
        <f>3936+1230</f>
        <v>5166</v>
      </c>
      <c r="I7" s="16">
        <v>14017</v>
      </c>
      <c r="J7" s="17">
        <v>7112</v>
      </c>
      <c r="K7" s="16">
        <v>11457</v>
      </c>
      <c r="L7" s="17">
        <f>5772+2175+1897</f>
        <v>9844</v>
      </c>
      <c r="M7" s="16">
        <f>1200+9297</f>
        <v>10497</v>
      </c>
      <c r="N7" s="17">
        <v>7139</v>
      </c>
      <c r="O7" s="16">
        <f>618+1188</f>
        <v>1806</v>
      </c>
      <c r="P7" s="20">
        <f t="shared" si="0"/>
        <v>140155.6</v>
      </c>
    </row>
    <row r="8" spans="1:16" ht="13.5" thickBot="1" x14ac:dyDescent="0.25">
      <c r="A8" s="14">
        <v>42375</v>
      </c>
      <c r="B8" s="15">
        <f>4119+759</f>
        <v>4878</v>
      </c>
      <c r="C8" s="16">
        <f>1119+12953</f>
        <v>14072</v>
      </c>
      <c r="D8" s="17">
        <f>4472+1606</f>
        <v>6078</v>
      </c>
      <c r="E8" s="16">
        <f>3535+16924</f>
        <v>20459</v>
      </c>
      <c r="F8" s="24"/>
      <c r="G8" s="25"/>
      <c r="H8" s="17">
        <f>4012+844</f>
        <v>4856</v>
      </c>
      <c r="I8" s="16">
        <v>10139</v>
      </c>
      <c r="J8" s="17">
        <f>3032+2283</f>
        <v>5315</v>
      </c>
      <c r="K8" s="16">
        <f>200+10112</f>
        <v>10312</v>
      </c>
      <c r="L8" s="17">
        <f>5435+923</f>
        <v>6358</v>
      </c>
      <c r="M8" s="16">
        <v>10760</v>
      </c>
      <c r="N8" s="17">
        <v>9808</v>
      </c>
      <c r="O8" s="16">
        <f>179+966</f>
        <v>1145</v>
      </c>
      <c r="P8" s="20">
        <f t="shared" si="0"/>
        <v>104180</v>
      </c>
    </row>
    <row r="9" spans="1:16" ht="13.5" thickBot="1" x14ac:dyDescent="0.25">
      <c r="A9" s="14">
        <v>42376</v>
      </c>
      <c r="B9" s="15">
        <f>7120+370</f>
        <v>7490</v>
      </c>
      <c r="C9" s="16">
        <f>1403+12308</f>
        <v>13711</v>
      </c>
      <c r="D9" s="17">
        <f>8340+981</f>
        <v>9321</v>
      </c>
      <c r="E9" s="16">
        <f>3111+17093</f>
        <v>20204</v>
      </c>
      <c r="F9" s="17">
        <v>5218</v>
      </c>
      <c r="G9" s="16">
        <f>1468+10755</f>
        <v>12223</v>
      </c>
      <c r="H9" s="17">
        <f>2780+1468</f>
        <v>4248</v>
      </c>
      <c r="I9" s="16">
        <f>15114+1219</f>
        <v>16333</v>
      </c>
      <c r="J9" s="17">
        <v>7145</v>
      </c>
      <c r="K9" s="16">
        <v>5826</v>
      </c>
      <c r="L9" s="17">
        <v>3824</v>
      </c>
      <c r="M9" s="16">
        <v>12013</v>
      </c>
      <c r="N9" s="17">
        <v>8228</v>
      </c>
      <c r="O9" s="16">
        <f>4071+4015</f>
        <v>8086</v>
      </c>
      <c r="P9" s="20">
        <f t="shared" si="0"/>
        <v>133870</v>
      </c>
    </row>
    <row r="10" spans="1:16" ht="13.5" thickBot="1" x14ac:dyDescent="0.25">
      <c r="A10" s="14">
        <v>42377</v>
      </c>
      <c r="B10" s="15">
        <v>4468</v>
      </c>
      <c r="C10" s="16">
        <f>3002+10672</f>
        <v>13674</v>
      </c>
      <c r="D10" s="17">
        <f>5747+680</f>
        <v>6427</v>
      </c>
      <c r="E10" s="16">
        <f>169+20167</f>
        <v>20336</v>
      </c>
      <c r="F10" s="17">
        <v>1308</v>
      </c>
      <c r="G10" s="16">
        <f>561+13679</f>
        <v>14240</v>
      </c>
      <c r="H10" s="17">
        <f>7034+1031</f>
        <v>8065</v>
      </c>
      <c r="I10" s="16">
        <v>14481</v>
      </c>
      <c r="J10" s="17">
        <v>2112</v>
      </c>
      <c r="K10" s="16">
        <f>1584+12122</f>
        <v>13706</v>
      </c>
      <c r="L10" s="17">
        <f>4092+108+125</f>
        <v>4325</v>
      </c>
      <c r="M10" s="16">
        <f>701+21494</f>
        <v>22195</v>
      </c>
      <c r="N10" s="17">
        <v>6672</v>
      </c>
      <c r="O10" s="16">
        <v>2206</v>
      </c>
      <c r="P10" s="20">
        <f t="shared" si="0"/>
        <v>134215</v>
      </c>
    </row>
    <row r="11" spans="1:16" ht="13.5" thickBot="1" x14ac:dyDescent="0.25">
      <c r="A11" s="14">
        <v>42378</v>
      </c>
      <c r="B11" s="15">
        <f>5177+100</f>
        <v>5277</v>
      </c>
      <c r="C11" s="16">
        <f>710+9760</f>
        <v>10470</v>
      </c>
      <c r="D11" s="17">
        <f>19424+2564</f>
        <v>21988</v>
      </c>
      <c r="E11" s="16">
        <f>2352+25292</f>
        <v>27644</v>
      </c>
      <c r="F11" s="17">
        <v>8570</v>
      </c>
      <c r="G11" s="16">
        <f>152+9318</f>
        <v>9470</v>
      </c>
      <c r="H11" s="17">
        <v>4883</v>
      </c>
      <c r="I11" s="16">
        <v>12323</v>
      </c>
      <c r="J11" s="17">
        <f>5154+1500</f>
        <v>6654</v>
      </c>
      <c r="K11" s="16">
        <f>300+9393</f>
        <v>9693</v>
      </c>
      <c r="L11" s="17">
        <v>5035</v>
      </c>
      <c r="M11" s="16">
        <f>1421+11373</f>
        <v>12794</v>
      </c>
      <c r="N11" s="17">
        <v>7425</v>
      </c>
      <c r="O11" s="16">
        <f>368+3250</f>
        <v>3618</v>
      </c>
      <c r="P11" s="20">
        <f t="shared" si="0"/>
        <v>145844</v>
      </c>
    </row>
    <row r="12" spans="1:16" ht="13.5" thickBot="1" x14ac:dyDescent="0.25">
      <c r="A12" s="7">
        <v>42379</v>
      </c>
      <c r="B12" s="8"/>
      <c r="C12" s="21"/>
      <c r="D12" s="26"/>
      <c r="E12" s="21"/>
      <c r="F12" s="26"/>
      <c r="G12" s="21"/>
      <c r="H12" s="26"/>
      <c r="I12" s="21"/>
      <c r="J12" s="26"/>
      <c r="K12" s="21"/>
      <c r="L12" s="26"/>
      <c r="M12" s="21"/>
      <c r="N12" s="26"/>
      <c r="O12" s="21"/>
      <c r="P12" s="12">
        <f t="shared" si="0"/>
        <v>0</v>
      </c>
    </row>
    <row r="13" spans="1:16" ht="13.5" thickBot="1" x14ac:dyDescent="0.25">
      <c r="A13" s="14">
        <v>42380</v>
      </c>
      <c r="B13" s="15">
        <v>3551</v>
      </c>
      <c r="C13" s="16">
        <f>1353+7591</f>
        <v>8944</v>
      </c>
      <c r="D13" s="17">
        <f>4479+630</f>
        <v>5109</v>
      </c>
      <c r="E13" s="16">
        <f>589+10597</f>
        <v>11186</v>
      </c>
      <c r="F13" s="17">
        <f>3576+1602</f>
        <v>5178</v>
      </c>
      <c r="G13" s="16">
        <v>7728</v>
      </c>
      <c r="H13" s="17">
        <v>9327</v>
      </c>
      <c r="I13" s="16">
        <v>8450</v>
      </c>
      <c r="J13" s="17">
        <f>1799+252</f>
        <v>2051</v>
      </c>
      <c r="K13" s="16">
        <f>530+11700</f>
        <v>12230</v>
      </c>
      <c r="L13" s="17">
        <f>7561+1497</f>
        <v>9058</v>
      </c>
      <c r="M13" s="16">
        <f>626+11638</f>
        <v>12264</v>
      </c>
      <c r="N13" s="17">
        <v>3217</v>
      </c>
      <c r="O13" s="16">
        <f>499+1867</f>
        <v>2366</v>
      </c>
      <c r="P13" s="20">
        <f t="shared" si="0"/>
        <v>100659</v>
      </c>
    </row>
    <row r="14" spans="1:16" ht="13.5" thickBot="1" x14ac:dyDescent="0.25">
      <c r="A14" s="14">
        <v>42381</v>
      </c>
      <c r="B14" s="15">
        <v>3976</v>
      </c>
      <c r="C14" s="16">
        <f>2797+7715</f>
        <v>10512</v>
      </c>
      <c r="D14" s="17">
        <v>12676</v>
      </c>
      <c r="E14" s="16">
        <f>2250+14124</f>
        <v>16374</v>
      </c>
      <c r="F14" s="17">
        <v>3300</v>
      </c>
      <c r="G14" s="16">
        <v>8144</v>
      </c>
      <c r="H14" s="17">
        <v>1894</v>
      </c>
      <c r="I14" s="16">
        <v>8256</v>
      </c>
      <c r="J14" s="17">
        <v>881</v>
      </c>
      <c r="K14" s="16">
        <f>1249+7271</f>
        <v>8520</v>
      </c>
      <c r="L14" s="17">
        <v>2685</v>
      </c>
      <c r="M14" s="16">
        <f>420+14595</f>
        <v>15015</v>
      </c>
      <c r="N14" s="17">
        <v>4623</v>
      </c>
      <c r="O14" s="16">
        <f>201+2168</f>
        <v>2369</v>
      </c>
      <c r="P14" s="20">
        <f t="shared" si="0"/>
        <v>99225</v>
      </c>
    </row>
    <row r="15" spans="1:16" ht="13.5" thickBot="1" x14ac:dyDescent="0.25">
      <c r="A15" s="14">
        <v>42382</v>
      </c>
      <c r="B15" s="15">
        <v>9517</v>
      </c>
      <c r="C15" s="16">
        <f>646+9343</f>
        <v>9989</v>
      </c>
      <c r="D15" s="17">
        <v>11558</v>
      </c>
      <c r="E15" s="16">
        <f>3514+18586</f>
        <v>22100</v>
      </c>
      <c r="F15" s="17">
        <v>3851</v>
      </c>
      <c r="G15" s="16">
        <v>9581</v>
      </c>
      <c r="H15" s="17">
        <f>5104+210</f>
        <v>5314</v>
      </c>
      <c r="I15" s="16">
        <v>9466</v>
      </c>
      <c r="J15" s="17">
        <v>823</v>
      </c>
      <c r="K15" s="16">
        <v>6910</v>
      </c>
      <c r="L15" s="17">
        <v>3989</v>
      </c>
      <c r="M15" s="16">
        <f>660+10387</f>
        <v>11047</v>
      </c>
      <c r="N15" s="27">
        <f>5610+2174</f>
        <v>7784</v>
      </c>
      <c r="O15" s="16">
        <f>1914+2690</f>
        <v>4604</v>
      </c>
      <c r="P15" s="20">
        <f t="shared" si="0"/>
        <v>116533</v>
      </c>
    </row>
    <row r="16" spans="1:16" ht="13.5" thickBot="1" x14ac:dyDescent="0.25">
      <c r="A16" s="14">
        <v>42383</v>
      </c>
      <c r="B16" s="15">
        <v>8479</v>
      </c>
      <c r="C16" s="16">
        <f>1299+11216</f>
        <v>12515</v>
      </c>
      <c r="D16" s="17">
        <f>13839+2935</f>
        <v>16774</v>
      </c>
      <c r="E16" s="16">
        <f>1519+13592</f>
        <v>15111</v>
      </c>
      <c r="F16" s="17">
        <v>3313</v>
      </c>
      <c r="G16" s="16">
        <f>545+5437</f>
        <v>5982</v>
      </c>
      <c r="H16" s="17">
        <v>5778</v>
      </c>
      <c r="I16" s="16">
        <v>12624</v>
      </c>
      <c r="J16" s="17">
        <f>7988+100</f>
        <v>8088</v>
      </c>
      <c r="K16" s="16">
        <f>500+8822</f>
        <v>9322</v>
      </c>
      <c r="L16" s="17">
        <f>8583+2172</f>
        <v>10755</v>
      </c>
      <c r="M16" s="16">
        <f>1228+10126</f>
        <v>11354</v>
      </c>
      <c r="N16" s="17"/>
      <c r="O16" s="16"/>
      <c r="P16" s="20">
        <f t="shared" si="0"/>
        <v>120095</v>
      </c>
    </row>
    <row r="17" spans="1:16" ht="13.5" thickBot="1" x14ac:dyDescent="0.25">
      <c r="A17" s="14">
        <v>42384</v>
      </c>
      <c r="B17" s="15">
        <v>6016</v>
      </c>
      <c r="C17" s="16">
        <f>1026+6974.3</f>
        <v>8000.3</v>
      </c>
      <c r="D17" s="17">
        <v>4850</v>
      </c>
      <c r="E17" s="16">
        <f>2064+13743</f>
        <v>15807</v>
      </c>
      <c r="F17" s="17">
        <v>3870</v>
      </c>
      <c r="G17" s="16">
        <f>1180+10284</f>
        <v>11464</v>
      </c>
      <c r="H17" s="17">
        <v>3781</v>
      </c>
      <c r="I17" s="16">
        <v>13167</v>
      </c>
      <c r="J17" s="17">
        <f>3576+1602</f>
        <v>5178</v>
      </c>
      <c r="K17" s="16">
        <v>7728</v>
      </c>
      <c r="L17" s="17">
        <v>7350</v>
      </c>
      <c r="M17" s="16">
        <f>800+10039</f>
        <v>10839</v>
      </c>
      <c r="N17" s="17">
        <v>10483</v>
      </c>
      <c r="O17" s="16">
        <f>998+4551</f>
        <v>5549</v>
      </c>
      <c r="P17" s="20">
        <f t="shared" si="0"/>
        <v>114082.3</v>
      </c>
    </row>
    <row r="18" spans="1:16" ht="13.5" thickBot="1" x14ac:dyDescent="0.25">
      <c r="A18" s="14">
        <v>42385</v>
      </c>
      <c r="B18" s="15">
        <v>12386</v>
      </c>
      <c r="C18" s="16">
        <v>13227</v>
      </c>
      <c r="D18" s="17">
        <f>11514+813</f>
        <v>12327</v>
      </c>
      <c r="E18" s="16">
        <f>773+12213</f>
        <v>12986</v>
      </c>
      <c r="F18" s="17">
        <v>6813</v>
      </c>
      <c r="G18" s="16">
        <f>1696+10053</f>
        <v>11749</v>
      </c>
      <c r="H18" s="17">
        <v>1885</v>
      </c>
      <c r="I18" s="16">
        <v>8996</v>
      </c>
      <c r="J18" s="17">
        <v>2018</v>
      </c>
      <c r="K18" s="16">
        <f>9889+0.04</f>
        <v>9889.0400000000009</v>
      </c>
      <c r="L18" s="17">
        <f>8765+1269</f>
        <v>10034</v>
      </c>
      <c r="M18" s="16">
        <v>12598</v>
      </c>
      <c r="N18" s="17">
        <v>11406</v>
      </c>
      <c r="O18" s="16">
        <v>2509</v>
      </c>
      <c r="P18" s="20">
        <f t="shared" si="0"/>
        <v>128823.04000000001</v>
      </c>
    </row>
    <row r="19" spans="1:16" ht="13.5" thickBot="1" x14ac:dyDescent="0.25">
      <c r="A19" s="14">
        <v>42386</v>
      </c>
      <c r="B19" s="26"/>
      <c r="C19" s="26"/>
      <c r="D19" s="26"/>
      <c r="E19" s="21"/>
      <c r="F19" s="26"/>
      <c r="G19" s="21"/>
      <c r="H19" s="26">
        <v>1885</v>
      </c>
      <c r="I19" s="21">
        <v>8997</v>
      </c>
      <c r="J19" s="26"/>
      <c r="K19" s="21"/>
      <c r="L19" s="26"/>
      <c r="M19" s="21"/>
      <c r="N19" s="26"/>
      <c r="O19" s="21"/>
      <c r="P19" s="20">
        <f t="shared" si="0"/>
        <v>10882</v>
      </c>
    </row>
    <row r="20" spans="1:16" ht="13.5" thickBot="1" x14ac:dyDescent="0.25">
      <c r="A20" s="14">
        <v>42387</v>
      </c>
      <c r="B20" s="15">
        <f>4806+832</f>
        <v>5638</v>
      </c>
      <c r="C20" s="16">
        <f>1429+10348</f>
        <v>11777</v>
      </c>
      <c r="D20" s="15">
        <v>5367</v>
      </c>
      <c r="E20" s="16">
        <f>878+16106</f>
        <v>16984</v>
      </c>
      <c r="F20" s="17">
        <v>2555</v>
      </c>
      <c r="G20" s="16">
        <f>2559+8486</f>
        <v>11045</v>
      </c>
      <c r="H20" s="17">
        <v>2778</v>
      </c>
      <c r="I20" s="16">
        <v>11872</v>
      </c>
      <c r="J20" s="17">
        <v>2154</v>
      </c>
      <c r="K20" s="16">
        <f>1099+5094</f>
        <v>6193</v>
      </c>
      <c r="L20" s="17">
        <f>2499+864</f>
        <v>3363</v>
      </c>
      <c r="M20" s="16">
        <f>12411+400</f>
        <v>12811</v>
      </c>
      <c r="N20" s="17">
        <v>6082</v>
      </c>
      <c r="O20" s="16">
        <f>2962+37</f>
        <v>2999</v>
      </c>
      <c r="P20" s="20">
        <f t="shared" si="0"/>
        <v>101618</v>
      </c>
    </row>
    <row r="21" spans="1:16" ht="13.5" thickBot="1" x14ac:dyDescent="0.25">
      <c r="A21" s="14">
        <v>42388</v>
      </c>
      <c r="B21" s="15">
        <f>4812+189</f>
        <v>5001</v>
      </c>
      <c r="C21" s="16">
        <f>6488+719</f>
        <v>7207</v>
      </c>
      <c r="D21" s="17">
        <f>8473+375</f>
        <v>8848</v>
      </c>
      <c r="E21" s="16">
        <f>2366+9770</f>
        <v>12136</v>
      </c>
      <c r="F21" s="17">
        <v>637</v>
      </c>
      <c r="G21" s="16">
        <f>462+7089</f>
        <v>7551</v>
      </c>
      <c r="H21" s="17">
        <v>1459</v>
      </c>
      <c r="I21" s="16">
        <v>5746</v>
      </c>
      <c r="J21" s="17">
        <v>2772</v>
      </c>
      <c r="K21" s="16">
        <v>5244</v>
      </c>
      <c r="L21" s="17">
        <v>864</v>
      </c>
      <c r="M21" s="16">
        <f>1920+7361</f>
        <v>9281</v>
      </c>
      <c r="N21" s="28">
        <v>4577</v>
      </c>
      <c r="O21" s="29">
        <f>11+3356</f>
        <v>3367</v>
      </c>
      <c r="P21" s="20">
        <f t="shared" si="0"/>
        <v>74690</v>
      </c>
    </row>
    <row r="22" spans="1:16" ht="13.5" thickBot="1" x14ac:dyDescent="0.25">
      <c r="A22" s="14">
        <v>42389</v>
      </c>
      <c r="B22" s="15">
        <v>4652</v>
      </c>
      <c r="C22" s="16">
        <v>6644</v>
      </c>
      <c r="D22" s="15">
        <v>10108</v>
      </c>
      <c r="E22" s="16">
        <f>7621+202</f>
        <v>7823</v>
      </c>
      <c r="F22" s="17">
        <v>5363</v>
      </c>
      <c r="G22" s="16">
        <v>2977</v>
      </c>
      <c r="H22" s="17">
        <f>7702+315</f>
        <v>8017</v>
      </c>
      <c r="I22" s="16">
        <v>7260</v>
      </c>
      <c r="J22" s="17">
        <v>5873</v>
      </c>
      <c r="K22" s="16">
        <v>4323</v>
      </c>
      <c r="L22" s="17">
        <v>7221</v>
      </c>
      <c r="M22" s="16">
        <v>6110</v>
      </c>
      <c r="N22" s="17">
        <v>6653</v>
      </c>
      <c r="O22" s="30">
        <f>104+1925</f>
        <v>2029</v>
      </c>
      <c r="P22" s="20">
        <f t="shared" si="0"/>
        <v>85053</v>
      </c>
    </row>
    <row r="23" spans="1:16" ht="13.5" thickBot="1" x14ac:dyDescent="0.25">
      <c r="A23" s="14">
        <v>42390</v>
      </c>
      <c r="B23" s="15">
        <v>12386</v>
      </c>
      <c r="C23" s="16">
        <v>13227</v>
      </c>
      <c r="D23" s="17">
        <f>14700+559</f>
        <v>15259</v>
      </c>
      <c r="E23" s="16">
        <v>13646</v>
      </c>
      <c r="F23" s="17">
        <v>7408</v>
      </c>
      <c r="G23" s="16">
        <v>6856</v>
      </c>
      <c r="H23" s="17">
        <v>12597</v>
      </c>
      <c r="I23" s="16">
        <v>10985</v>
      </c>
      <c r="J23" s="17">
        <v>17109</v>
      </c>
      <c r="K23" s="16">
        <f>600+6121</f>
        <v>6721</v>
      </c>
      <c r="L23" s="17">
        <v>14797</v>
      </c>
      <c r="M23" s="16">
        <f>748+11825</f>
        <v>12573</v>
      </c>
      <c r="N23" s="17">
        <v>11446</v>
      </c>
      <c r="O23" s="16">
        <v>2294</v>
      </c>
      <c r="P23" s="20">
        <f t="shared" si="0"/>
        <v>157304</v>
      </c>
    </row>
    <row r="24" spans="1:16" ht="13.5" thickBot="1" x14ac:dyDescent="0.25">
      <c r="A24" s="14">
        <v>42391</v>
      </c>
      <c r="B24" s="15">
        <v>15865</v>
      </c>
      <c r="C24" s="16">
        <f>680+8171</f>
        <v>8851</v>
      </c>
      <c r="D24" s="17">
        <f>20943+209</f>
        <v>21152</v>
      </c>
      <c r="E24" s="16">
        <f>2137+8597</f>
        <v>10734</v>
      </c>
      <c r="F24" s="17">
        <v>9991</v>
      </c>
      <c r="G24" s="16">
        <f>58+5702</f>
        <v>5760</v>
      </c>
      <c r="H24" s="17">
        <v>5131</v>
      </c>
      <c r="I24" s="16">
        <v>9977</v>
      </c>
      <c r="J24" s="17">
        <v>9236</v>
      </c>
      <c r="K24" s="16">
        <v>6618</v>
      </c>
      <c r="L24" s="17">
        <v>7620</v>
      </c>
      <c r="M24" s="16">
        <v>5513</v>
      </c>
      <c r="N24" s="17">
        <v>5700</v>
      </c>
      <c r="O24" s="16">
        <f>76+4204</f>
        <v>4280</v>
      </c>
      <c r="P24" s="20">
        <f t="shared" si="0"/>
        <v>126428</v>
      </c>
    </row>
    <row r="25" spans="1:16" ht="13.5" thickBot="1" x14ac:dyDescent="0.25">
      <c r="A25" s="14">
        <v>42392</v>
      </c>
      <c r="B25" s="15">
        <v>11831</v>
      </c>
      <c r="C25" s="16">
        <f>950+7788</f>
        <v>8738</v>
      </c>
      <c r="D25" s="17">
        <f>23351+1193</f>
        <v>24544</v>
      </c>
      <c r="E25" s="16">
        <f>1703+9355</f>
        <v>11058</v>
      </c>
      <c r="F25" s="17">
        <f>11157+3108</f>
        <v>14265</v>
      </c>
      <c r="G25" s="16">
        <f>695+7297</f>
        <v>7992</v>
      </c>
      <c r="H25" s="17">
        <v>7917</v>
      </c>
      <c r="I25" s="16">
        <v>5081</v>
      </c>
      <c r="J25" s="17">
        <v>11332</v>
      </c>
      <c r="K25" s="16">
        <f>799+5568</f>
        <v>6367</v>
      </c>
      <c r="L25" s="17">
        <f>16504+644</f>
        <v>17148</v>
      </c>
      <c r="M25" s="16">
        <f>612+11878</f>
        <v>12490</v>
      </c>
      <c r="N25" s="17">
        <v>12219</v>
      </c>
      <c r="O25" s="16">
        <v>1813</v>
      </c>
      <c r="P25" s="20">
        <f t="shared" si="0"/>
        <v>152795</v>
      </c>
    </row>
    <row r="26" spans="1:16" s="13" customFormat="1" ht="13.5" thickBot="1" x14ac:dyDescent="0.25">
      <c r="A26" s="7">
        <v>42393</v>
      </c>
      <c r="B26" s="8"/>
      <c r="C26" s="21"/>
      <c r="D26" s="26"/>
      <c r="E26" s="21"/>
      <c r="F26" s="26"/>
      <c r="G26" s="21"/>
      <c r="H26" s="26"/>
      <c r="I26" s="21"/>
      <c r="J26" s="26"/>
      <c r="K26" s="21"/>
      <c r="L26" s="26"/>
      <c r="M26" s="21"/>
      <c r="N26" s="26"/>
      <c r="O26" s="21"/>
      <c r="P26" s="12">
        <f t="shared" si="0"/>
        <v>0</v>
      </c>
    </row>
    <row r="27" spans="1:16" ht="13.5" thickBot="1" x14ac:dyDescent="0.25">
      <c r="A27" s="14">
        <v>42394</v>
      </c>
      <c r="B27" s="15">
        <f>5329+1027</f>
        <v>6356</v>
      </c>
      <c r="C27" s="16">
        <v>4415</v>
      </c>
      <c r="D27" s="17">
        <f>10310+126</f>
        <v>10436</v>
      </c>
      <c r="E27" s="16">
        <v>12898</v>
      </c>
      <c r="F27" s="17">
        <v>2921</v>
      </c>
      <c r="G27" s="16">
        <f>282+5445</f>
        <v>5727</v>
      </c>
      <c r="H27" s="17">
        <v>8667</v>
      </c>
      <c r="I27" s="16">
        <v>10043</v>
      </c>
      <c r="J27" s="17">
        <v>6784</v>
      </c>
      <c r="K27" s="16">
        <v>5733</v>
      </c>
      <c r="L27" s="17">
        <v>15793</v>
      </c>
      <c r="M27" s="16">
        <f>2054+8157</f>
        <v>10211</v>
      </c>
      <c r="N27" s="17">
        <v>12787</v>
      </c>
      <c r="O27" s="16">
        <f>84+1973</f>
        <v>2057</v>
      </c>
      <c r="P27" s="20">
        <f t="shared" si="0"/>
        <v>114828</v>
      </c>
    </row>
    <row r="28" spans="1:16" ht="13.5" thickBot="1" x14ac:dyDescent="0.25">
      <c r="A28" s="14">
        <v>42395</v>
      </c>
      <c r="B28" s="15">
        <v>8297</v>
      </c>
      <c r="C28" s="16">
        <f>500+7764</f>
        <v>8264</v>
      </c>
      <c r="D28" s="17">
        <v>17468</v>
      </c>
      <c r="E28" s="16">
        <f>1027+7196</f>
        <v>8223</v>
      </c>
      <c r="F28" s="17">
        <v>5618</v>
      </c>
      <c r="G28" s="16">
        <f>300+1350</f>
        <v>1650</v>
      </c>
      <c r="H28" s="17">
        <f>13856+2688</f>
        <v>16544</v>
      </c>
      <c r="I28" s="16">
        <v>4648</v>
      </c>
      <c r="J28" s="17">
        <v>6593</v>
      </c>
      <c r="K28" s="16">
        <f>284+7583</f>
        <v>7867</v>
      </c>
      <c r="L28" s="17">
        <v>24724</v>
      </c>
      <c r="M28" s="16">
        <v>9228</v>
      </c>
      <c r="N28" s="17">
        <v>4270</v>
      </c>
      <c r="O28" s="16">
        <f>830+1323</f>
        <v>2153</v>
      </c>
      <c r="P28" s="20">
        <f t="shared" si="0"/>
        <v>125547</v>
      </c>
    </row>
    <row r="29" spans="1:16" ht="13.5" thickBot="1" x14ac:dyDescent="0.25">
      <c r="A29" s="14">
        <v>42396</v>
      </c>
      <c r="B29" s="15">
        <f>3166+994</f>
        <v>4160</v>
      </c>
      <c r="C29" s="16">
        <f>1089+3754</f>
        <v>4843</v>
      </c>
      <c r="D29" s="17">
        <f>14855+3010</f>
        <v>17865</v>
      </c>
      <c r="E29" s="16">
        <f>399+8393</f>
        <v>8792</v>
      </c>
      <c r="F29" s="17">
        <v>6683</v>
      </c>
      <c r="G29" s="16">
        <f>165+4029</f>
        <v>4194</v>
      </c>
      <c r="H29" s="17">
        <v>6117</v>
      </c>
      <c r="I29" s="16">
        <v>5297</v>
      </c>
      <c r="J29" s="17">
        <v>10923</v>
      </c>
      <c r="K29" s="16">
        <f>227+5515</f>
        <v>5742</v>
      </c>
      <c r="L29" s="17">
        <v>15310</v>
      </c>
      <c r="M29" s="16">
        <f>995+4754</f>
        <v>5749</v>
      </c>
      <c r="N29" s="17">
        <v>7031</v>
      </c>
      <c r="O29" s="16">
        <f>196+2654</f>
        <v>2850</v>
      </c>
      <c r="P29" s="20">
        <f t="shared" si="0"/>
        <v>105556</v>
      </c>
    </row>
    <row r="30" spans="1:16" ht="13.5" thickBot="1" x14ac:dyDescent="0.25">
      <c r="A30" s="14">
        <v>42397</v>
      </c>
      <c r="B30" s="15"/>
      <c r="C30" s="16"/>
      <c r="D30" s="17">
        <f>20531+5717</f>
        <v>26248</v>
      </c>
      <c r="E30" s="16">
        <f>63+7655</f>
        <v>7718</v>
      </c>
      <c r="F30" s="17">
        <v>4430</v>
      </c>
      <c r="G30" s="16">
        <f>1280+4979</f>
        <v>6259</v>
      </c>
      <c r="H30" s="17">
        <f>2688+13856</f>
        <v>16544</v>
      </c>
      <c r="I30" s="16">
        <v>4647</v>
      </c>
      <c r="J30" s="17">
        <v>10907</v>
      </c>
      <c r="K30" s="16">
        <f>536+7369</f>
        <v>7905</v>
      </c>
      <c r="L30" s="17">
        <v>9243</v>
      </c>
      <c r="M30" s="16">
        <v>5548</v>
      </c>
      <c r="N30" s="17">
        <v>9213</v>
      </c>
      <c r="O30" s="16">
        <f>229+3606</f>
        <v>3835</v>
      </c>
      <c r="P30" s="20">
        <f t="shared" si="0"/>
        <v>112497</v>
      </c>
    </row>
    <row r="31" spans="1:16" ht="13.5" thickBot="1" x14ac:dyDescent="0.25">
      <c r="A31" s="14">
        <v>42398</v>
      </c>
      <c r="B31" s="15">
        <v>10399</v>
      </c>
      <c r="C31" s="16">
        <f>2941+8044</f>
        <v>10985</v>
      </c>
      <c r="D31" s="17">
        <f>14703+349+8221</f>
        <v>23273</v>
      </c>
      <c r="E31" s="16">
        <f>1699+14116</f>
        <v>15815</v>
      </c>
      <c r="F31" s="17">
        <v>15860</v>
      </c>
      <c r="G31" s="16">
        <f>625+2787</f>
        <v>3412</v>
      </c>
      <c r="H31" s="17">
        <f>10562+332</f>
        <v>10894</v>
      </c>
      <c r="I31" s="16">
        <v>7595</v>
      </c>
      <c r="J31" s="17">
        <v>10709</v>
      </c>
      <c r="K31" s="16">
        <v>8332</v>
      </c>
      <c r="L31" s="17">
        <f>13469+6472</f>
        <v>19941</v>
      </c>
      <c r="M31" s="16">
        <f>2774+3453</f>
        <v>6227</v>
      </c>
      <c r="N31" s="17">
        <v>5561</v>
      </c>
      <c r="O31" s="16">
        <f>334+2817</f>
        <v>3151</v>
      </c>
      <c r="P31" s="20">
        <f t="shared" si="0"/>
        <v>152154</v>
      </c>
    </row>
    <row r="32" spans="1:16" ht="13.5" thickBot="1" x14ac:dyDescent="0.25">
      <c r="A32" s="14">
        <v>42399</v>
      </c>
      <c r="B32" s="15">
        <v>8772</v>
      </c>
      <c r="C32" s="16">
        <f>3976+9596</f>
        <v>13572</v>
      </c>
      <c r="D32" s="17">
        <f>21051+399+925</f>
        <v>22375</v>
      </c>
      <c r="E32" s="16">
        <f>4053+20172</f>
        <v>24225</v>
      </c>
      <c r="F32" s="17">
        <v>20041</v>
      </c>
      <c r="G32" s="16">
        <f>1548+8718</f>
        <v>10266</v>
      </c>
      <c r="H32" s="17">
        <f>13446+314</f>
        <v>13760</v>
      </c>
      <c r="I32" s="16">
        <v>9108</v>
      </c>
      <c r="J32" s="17">
        <v>10916</v>
      </c>
      <c r="K32" s="16">
        <f>699+7323</f>
        <v>8022</v>
      </c>
      <c r="L32" s="17">
        <v>27049</v>
      </c>
      <c r="M32" s="16">
        <f>412+7220</f>
        <v>7632</v>
      </c>
      <c r="N32" s="17">
        <v>14347</v>
      </c>
      <c r="O32" s="16">
        <f>891+2279</f>
        <v>3170</v>
      </c>
      <c r="P32" s="20">
        <f t="shared" si="0"/>
        <v>193255</v>
      </c>
    </row>
    <row r="33" spans="1:17" s="13" customFormat="1" ht="13.5" thickBot="1" x14ac:dyDescent="0.25">
      <c r="A33" s="7">
        <v>42400</v>
      </c>
      <c r="B33" s="8"/>
      <c r="C33" s="21"/>
      <c r="D33" s="26"/>
      <c r="E33" s="21"/>
      <c r="F33" s="26"/>
      <c r="G33" s="21"/>
      <c r="H33" s="26"/>
      <c r="I33" s="21"/>
      <c r="J33" s="26"/>
      <c r="K33" s="21"/>
      <c r="L33" s="26"/>
      <c r="M33" s="21"/>
      <c r="N33" s="26"/>
      <c r="O33" s="21"/>
      <c r="P33" s="12">
        <f t="shared" si="0"/>
        <v>0</v>
      </c>
    </row>
    <row r="34" spans="1:17" s="41" customFormat="1" ht="13.5" thickBot="1" x14ac:dyDescent="0.25">
      <c r="A34" s="31" t="s">
        <v>8</v>
      </c>
      <c r="B34" s="32">
        <f>SUM(B3:B33)</f>
        <v>171047</v>
      </c>
      <c r="C34" s="33">
        <f t="shared" ref="C34:N34" si="1">SUM(C3:C33)</f>
        <v>240335.3</v>
      </c>
      <c r="D34" s="32">
        <f t="shared" si="1"/>
        <v>342969</v>
      </c>
      <c r="E34" s="33">
        <f t="shared" si="1"/>
        <v>398168</v>
      </c>
      <c r="F34" s="34">
        <f t="shared" si="1"/>
        <v>154533</v>
      </c>
      <c r="G34" s="35">
        <f t="shared" si="1"/>
        <v>195495.6</v>
      </c>
      <c r="H34" s="32">
        <f t="shared" si="1"/>
        <v>180593</v>
      </c>
      <c r="I34" s="33">
        <f>SUM(I3:I33)</f>
        <v>247607</v>
      </c>
      <c r="J34" s="34">
        <f t="shared" si="1"/>
        <v>166717</v>
      </c>
      <c r="K34" s="35">
        <f t="shared" si="1"/>
        <v>199458.04</v>
      </c>
      <c r="L34" s="36">
        <f t="shared" si="1"/>
        <v>252677</v>
      </c>
      <c r="M34" s="37">
        <f t="shared" si="1"/>
        <v>265065</v>
      </c>
      <c r="N34" s="38">
        <f t="shared" si="1"/>
        <v>180147</v>
      </c>
      <c r="O34" s="39">
        <f>SUM(O3:O33)</f>
        <v>72962</v>
      </c>
      <c r="P34" s="40">
        <f>SUM(B34:O34)</f>
        <v>3067773.9400000004</v>
      </c>
    </row>
    <row r="35" spans="1:17" ht="13.5" thickBot="1" x14ac:dyDescent="0.25">
      <c r="A35" s="42"/>
      <c r="B35" s="43" t="s">
        <v>9</v>
      </c>
      <c r="C35" s="44">
        <f>+B34+C34</f>
        <v>411382.3</v>
      </c>
      <c r="D35" s="45" t="s">
        <v>10</v>
      </c>
      <c r="E35" s="46">
        <f>+D34+E34</f>
        <v>741137</v>
      </c>
      <c r="F35" s="47" t="s">
        <v>11</v>
      </c>
      <c r="G35" s="48">
        <f>+F34+G34</f>
        <v>350028.6</v>
      </c>
      <c r="H35" s="49" t="s">
        <v>12</v>
      </c>
      <c r="I35" s="44">
        <f>+H34+I34</f>
        <v>428200</v>
      </c>
      <c r="J35" s="47" t="s">
        <v>13</v>
      </c>
      <c r="K35" s="48">
        <f>+J34+K34</f>
        <v>366175.04000000004</v>
      </c>
      <c r="L35" s="50" t="s">
        <v>14</v>
      </c>
      <c r="M35" s="50">
        <f>+L34+M34</f>
        <v>517742</v>
      </c>
      <c r="N35" s="45" t="s">
        <v>15</v>
      </c>
      <c r="O35" s="46">
        <f>+N34+O34</f>
        <v>253109</v>
      </c>
      <c r="P35" s="51">
        <f>SUM(B34:O34)</f>
        <v>3067773.9400000004</v>
      </c>
    </row>
    <row r="36" spans="1:17" ht="13.5" thickBot="1" x14ac:dyDescent="0.25">
      <c r="A36" s="52" t="s">
        <v>16</v>
      </c>
      <c r="B36" s="53">
        <f>+B34/C35*100</f>
        <v>41.578599759882721</v>
      </c>
      <c r="C36" s="54">
        <f>+C34/C35*100</f>
        <v>58.421400240117279</v>
      </c>
      <c r="D36" s="54">
        <f>+D34/E35*100</f>
        <v>46.276059621905262</v>
      </c>
      <c r="E36" s="54">
        <f>+E34/E35*100</f>
        <v>53.723940378094738</v>
      </c>
      <c r="F36" s="54">
        <f>+F34/G35*100</f>
        <v>44.148678136586554</v>
      </c>
      <c r="G36" s="54">
        <f>+G34/G35*100</f>
        <v>55.851321863413453</v>
      </c>
      <c r="H36" s="54">
        <f>+H34/I35*100</f>
        <v>42.17491826249416</v>
      </c>
      <c r="I36" s="54">
        <f>+I34/I35*100</f>
        <v>57.825081737505833</v>
      </c>
      <c r="J36" s="54">
        <f>+J34/K35*100</f>
        <v>45.529318437433638</v>
      </c>
      <c r="K36" s="54">
        <f>+K34/K35*100</f>
        <v>54.470681562566355</v>
      </c>
      <c r="L36" s="54">
        <f>+L34/M35*100</f>
        <v>48.803651239420404</v>
      </c>
      <c r="M36" s="54">
        <f>+M34/M35*100</f>
        <v>51.196348760579589</v>
      </c>
      <c r="N36" s="54">
        <f>+N34/O35*100</f>
        <v>71.173684064968057</v>
      </c>
      <c r="O36" s="55">
        <f>+O34/O35*100</f>
        <v>28.826315935031943</v>
      </c>
    </row>
    <row r="37" spans="1:17" ht="13.5" thickBot="1" x14ac:dyDescent="0.25">
      <c r="A37" s="56" t="s">
        <v>17</v>
      </c>
      <c r="B37" s="57"/>
      <c r="C37" s="58">
        <f>C35/P35</f>
        <v>0.13409798376473592</v>
      </c>
      <c r="D37" s="58"/>
      <c r="E37" s="58">
        <f>E35/P35</f>
        <v>0.24158787919034214</v>
      </c>
      <c r="F37" s="58"/>
      <c r="G37" s="58">
        <f>G35/P35</f>
        <v>0.11409856359885498</v>
      </c>
      <c r="H37" s="58"/>
      <c r="I37" s="58">
        <f>I35/P35</f>
        <v>0.13958003698277713</v>
      </c>
      <c r="J37" s="58"/>
      <c r="K37" s="58">
        <f>K35/P35</f>
        <v>0.11936180669166255</v>
      </c>
      <c r="L37" s="58"/>
      <c r="M37" s="58">
        <f>M35/P35</f>
        <v>0.16876797643049277</v>
      </c>
      <c r="N37" s="58"/>
      <c r="O37" s="58">
        <f>+O35/P35</f>
        <v>8.2505753341134372E-2</v>
      </c>
      <c r="P37" s="59">
        <f>P35/P35</f>
        <v>1</v>
      </c>
    </row>
    <row r="38" spans="1:17" ht="13.5" thickBot="1" x14ac:dyDescent="0.25">
      <c r="A38" s="60" t="s">
        <v>18</v>
      </c>
      <c r="B38" s="61"/>
      <c r="C38" s="62">
        <f>C35/25</f>
        <v>16455.292000000001</v>
      </c>
      <c r="D38" s="62"/>
      <c r="E38" s="62">
        <f>E35/25</f>
        <v>29645.48</v>
      </c>
      <c r="F38" s="62"/>
      <c r="G38" s="62">
        <f>G35/25</f>
        <v>14001.143999999998</v>
      </c>
      <c r="H38" s="62"/>
      <c r="I38" s="62">
        <f>I35/25</f>
        <v>17128</v>
      </c>
      <c r="J38" s="62"/>
      <c r="K38" s="62">
        <f>K35/25</f>
        <v>14647.001600000001</v>
      </c>
      <c r="L38" s="62"/>
      <c r="M38" s="62">
        <f>M35/25</f>
        <v>20709.68</v>
      </c>
      <c r="N38" s="62"/>
      <c r="O38" s="62">
        <f>O35/25</f>
        <v>10124.36</v>
      </c>
      <c r="P38" s="63">
        <f>P35/25</f>
        <v>122710.95760000002</v>
      </c>
    </row>
    <row r="39" spans="1:17" ht="16.5" thickBot="1" x14ac:dyDescent="0.3">
      <c r="C39" s="64" t="s">
        <v>1</v>
      </c>
      <c r="D39" s="64"/>
      <c r="E39" s="64">
        <v>48</v>
      </c>
      <c r="F39" s="65"/>
      <c r="G39" s="65" t="s">
        <v>2</v>
      </c>
      <c r="H39" s="65"/>
      <c r="I39" s="65" t="s">
        <v>3</v>
      </c>
      <c r="J39" s="65"/>
      <c r="K39" s="65">
        <v>12</v>
      </c>
      <c r="L39" s="65"/>
      <c r="M39" s="65">
        <v>49</v>
      </c>
      <c r="N39" s="66"/>
      <c r="O39" s="66" t="s">
        <v>4</v>
      </c>
      <c r="P39" s="304">
        <f>+M40+K40+I40+G40+E40+C40</f>
        <v>9197</v>
      </c>
      <c r="Q39" t="s">
        <v>100</v>
      </c>
    </row>
    <row r="40" spans="1:17" s="73" customFormat="1" ht="13.5" thickBot="1" x14ac:dyDescent="0.25">
      <c r="A40" s="67" t="s">
        <v>19</v>
      </c>
      <c r="B40" s="68"/>
      <c r="C40" s="69">
        <f>775+514</f>
        <v>1289</v>
      </c>
      <c r="D40" s="69"/>
      <c r="E40" s="69">
        <f>1198+901</f>
        <v>2099</v>
      </c>
      <c r="F40" s="69"/>
      <c r="G40" s="69">
        <f>605+382</f>
        <v>987</v>
      </c>
      <c r="H40" s="69"/>
      <c r="I40" s="69">
        <v>2052</v>
      </c>
      <c r="J40" s="69"/>
      <c r="K40" s="69">
        <f>727+470</f>
        <v>1197</v>
      </c>
      <c r="L40" s="70"/>
      <c r="M40" s="70">
        <f>872+701</f>
        <v>1573</v>
      </c>
      <c r="N40" s="71"/>
      <c r="O40" s="71"/>
      <c r="P40" s="72">
        <f>AVERAGE(C40:M40)</f>
        <v>1532.8333333333333</v>
      </c>
      <c r="Q40" s="305" t="s">
        <v>99</v>
      </c>
    </row>
    <row r="41" spans="1:17" ht="13.5" thickBot="1" x14ac:dyDescent="0.25">
      <c r="A41" s="74" t="s">
        <v>20</v>
      </c>
      <c r="B41" s="75"/>
      <c r="C41" s="76">
        <f>+C35/C40</f>
        <v>319.14840961986033</v>
      </c>
      <c r="D41" s="76"/>
      <c r="E41" s="76">
        <f>+E35/E40</f>
        <v>353.09051929490232</v>
      </c>
      <c r="F41" s="76"/>
      <c r="G41" s="76">
        <f>+G35/G40</f>
        <v>354.63890577507595</v>
      </c>
      <c r="H41" s="76"/>
      <c r="I41" s="76">
        <f>+I35/I40</f>
        <v>208.67446393762182</v>
      </c>
      <c r="J41" s="76"/>
      <c r="K41" s="76">
        <f>+K35/K40</f>
        <v>305.91064327485384</v>
      </c>
      <c r="L41" s="76"/>
      <c r="M41" s="76">
        <f>+M35/M40</f>
        <v>329.14303877940239</v>
      </c>
      <c r="N41" s="77"/>
      <c r="O41" s="77" t="e">
        <f>+O35/O40</f>
        <v>#DIV/0!</v>
      </c>
      <c r="P41" s="78">
        <f>+P35/P39</f>
        <v>333.5624594976623</v>
      </c>
      <c r="Q41" t="s">
        <v>99</v>
      </c>
    </row>
    <row r="42" spans="1:17" x14ac:dyDescent="0.2">
      <c r="A42" s="79"/>
      <c r="B42" s="79"/>
      <c r="C42" s="80"/>
      <c r="D42" s="80"/>
      <c r="E42" s="80"/>
      <c r="F42" s="80"/>
      <c r="G42" s="80"/>
      <c r="H42" s="80"/>
      <c r="I42" s="80"/>
      <c r="J42" s="80"/>
      <c r="K42" s="81"/>
      <c r="L42" s="81"/>
      <c r="M42" s="80"/>
      <c r="N42" s="80"/>
      <c r="O42" s="80"/>
      <c r="P42" s="82"/>
    </row>
    <row r="43" spans="1:17" x14ac:dyDescent="0.2">
      <c r="A43" s="651" t="s">
        <v>21</v>
      </c>
      <c r="B43" s="651"/>
      <c r="C43" s="83" t="s">
        <v>22</v>
      </c>
      <c r="F43" s="652" t="s">
        <v>23</v>
      </c>
      <c r="G43" s="652"/>
      <c r="H43" s="84" t="s">
        <v>22</v>
      </c>
      <c r="K43" s="653" t="s">
        <v>24</v>
      </c>
      <c r="L43" s="653"/>
      <c r="M43" s="85" t="s">
        <v>22</v>
      </c>
    </row>
    <row r="44" spans="1:17" x14ac:dyDescent="0.2">
      <c r="A44" s="83" t="s">
        <v>25</v>
      </c>
      <c r="B44" s="86">
        <f>+C34+E34+I34+O34</f>
        <v>959072.3</v>
      </c>
      <c r="C44" s="86">
        <f>+(B44/B46)*100</f>
        <v>52.298914789350782</v>
      </c>
      <c r="F44" s="84" t="s">
        <v>26</v>
      </c>
      <c r="G44" s="87">
        <f>+G34+K34+M34</f>
        <v>660018.64</v>
      </c>
      <c r="H44" s="87">
        <f>+(G44/G46)*100</f>
        <v>53.488469718973995</v>
      </c>
      <c r="K44" s="85" t="s">
        <v>26</v>
      </c>
      <c r="L44" s="88">
        <f>+B44+G44</f>
        <v>1619090.94</v>
      </c>
      <c r="M44" s="88">
        <f>+L44/L46*100</f>
        <v>52.777387502026961</v>
      </c>
    </row>
    <row r="45" spans="1:17" x14ac:dyDescent="0.2">
      <c r="A45" s="83" t="s">
        <v>27</v>
      </c>
      <c r="B45" s="86">
        <f>+B34+D34+H34+N34</f>
        <v>874756</v>
      </c>
      <c r="C45" s="86">
        <f>+(B45/B46)*100</f>
        <v>47.701085210649218</v>
      </c>
      <c r="F45" s="84" t="s">
        <v>28</v>
      </c>
      <c r="G45" s="87">
        <f>+F34+J34+L34</f>
        <v>573927</v>
      </c>
      <c r="H45" s="87">
        <f>+(G45/G46)*100</f>
        <v>46.511530281025983</v>
      </c>
      <c r="K45" s="85" t="s">
        <v>29</v>
      </c>
      <c r="L45" s="88">
        <f>+B45+G45</f>
        <v>1448683</v>
      </c>
      <c r="M45" s="88">
        <f>+L45/L46*100</f>
        <v>47.222612497973046</v>
      </c>
    </row>
    <row r="46" spans="1:17" x14ac:dyDescent="0.2">
      <c r="A46" s="89"/>
      <c r="B46" s="90">
        <f>+B44+B45</f>
        <v>1833828.3</v>
      </c>
      <c r="C46" s="89"/>
      <c r="F46" s="91"/>
      <c r="G46" s="92">
        <f>+G44+G45</f>
        <v>1233945.6400000001</v>
      </c>
      <c r="H46" s="91"/>
      <c r="K46" s="85"/>
      <c r="L46" s="88">
        <f>SUM(L44:L45)</f>
        <v>3067773.94</v>
      </c>
      <c r="M46" s="85"/>
    </row>
    <row r="47" spans="1:17" ht="13.5" thickBot="1" x14ac:dyDescent="0.25"/>
    <row r="48" spans="1:17" ht="13.5" thickBot="1" x14ac:dyDescent="0.25">
      <c r="A48" s="89"/>
      <c r="B48" s="93">
        <f>+B46+B47</f>
        <v>1833828.3</v>
      </c>
      <c r="C48" s="89"/>
      <c r="F48" s="91"/>
      <c r="G48" s="94">
        <f>+G46+G47</f>
        <v>1233945.6400000001</v>
      </c>
      <c r="H48" s="91"/>
      <c r="K48" s="95"/>
      <c r="L48" s="96">
        <f>SUM(L46:L47)</f>
        <v>3067773.94</v>
      </c>
      <c r="M48" s="97"/>
    </row>
  </sheetData>
  <mergeCells count="10">
    <mergeCell ref="N1:O1"/>
    <mergeCell ref="A43:B43"/>
    <mergeCell ref="F43:G43"/>
    <mergeCell ref="K43:L43"/>
    <mergeCell ref="B1:C1"/>
    <mergeCell ref="D1:E1"/>
    <mergeCell ref="F1:G1"/>
    <mergeCell ref="H1:I1"/>
    <mergeCell ref="J1:K1"/>
    <mergeCell ref="L1:M1"/>
  </mergeCells>
  <phoneticPr fontId="5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6"/>
  <sheetViews>
    <sheetView topLeftCell="A2" workbookViewId="0">
      <selection activeCell="A2" sqref="A2"/>
    </sheetView>
  </sheetViews>
  <sheetFormatPr baseColWidth="10" defaultRowHeight="12.75" x14ac:dyDescent="0.2"/>
  <cols>
    <col min="1" max="1" width="22.7109375" bestFit="1" customWidth="1"/>
    <col min="2" max="2" width="14.42578125" bestFit="1" customWidth="1"/>
    <col min="3" max="4" width="12.85546875" bestFit="1" customWidth="1"/>
    <col min="5" max="5" width="13.28515625" bestFit="1" customWidth="1"/>
    <col min="6" max="6" width="12.85546875" bestFit="1" customWidth="1"/>
    <col min="7" max="7" width="14.42578125" bestFit="1" customWidth="1"/>
    <col min="8" max="11" width="12.85546875" bestFit="1" customWidth="1"/>
    <col min="12" max="12" width="14.42578125" bestFit="1" customWidth="1"/>
    <col min="13" max="13" width="13.28515625" bestFit="1" customWidth="1"/>
    <col min="14" max="15" width="12.85546875" bestFit="1" customWidth="1"/>
    <col min="16" max="16" width="15.5703125" customWidth="1"/>
    <col min="17" max="17" width="14.42578125" bestFit="1" customWidth="1"/>
  </cols>
  <sheetData>
    <row r="1" spans="1:16" ht="16.5" thickBot="1" x14ac:dyDescent="0.3">
      <c r="A1" s="1" t="s">
        <v>101</v>
      </c>
      <c r="B1" s="649" t="s">
        <v>1</v>
      </c>
      <c r="C1" s="650"/>
      <c r="D1" s="649">
        <v>48</v>
      </c>
      <c r="E1" s="650"/>
      <c r="F1" s="654" t="s">
        <v>2</v>
      </c>
      <c r="G1" s="655"/>
      <c r="H1" s="649" t="s">
        <v>3</v>
      </c>
      <c r="I1" s="650"/>
      <c r="J1" s="654">
        <v>12</v>
      </c>
      <c r="K1" s="655"/>
      <c r="L1" s="654">
        <v>49</v>
      </c>
      <c r="M1" s="655"/>
      <c r="N1" s="649" t="s">
        <v>4</v>
      </c>
      <c r="O1" s="650"/>
      <c r="P1" s="2" t="s">
        <v>5</v>
      </c>
    </row>
    <row r="2" spans="1:16" ht="16.5" thickBot="1" x14ac:dyDescent="0.3">
      <c r="A2" s="1"/>
      <c r="B2" s="3" t="s">
        <v>6</v>
      </c>
      <c r="C2" s="4" t="s">
        <v>7</v>
      </c>
      <c r="D2" s="3" t="s">
        <v>6</v>
      </c>
      <c r="E2" s="4" t="s">
        <v>7</v>
      </c>
      <c r="F2" s="5" t="s">
        <v>6</v>
      </c>
      <c r="G2" s="6" t="s">
        <v>7</v>
      </c>
      <c r="H2" s="3" t="s">
        <v>6</v>
      </c>
      <c r="I2" s="4" t="s">
        <v>7</v>
      </c>
      <c r="J2" s="5" t="s">
        <v>6</v>
      </c>
      <c r="K2" s="6" t="s">
        <v>7</v>
      </c>
      <c r="L2" s="5" t="s">
        <v>6</v>
      </c>
      <c r="M2" s="6" t="s">
        <v>7</v>
      </c>
      <c r="N2" s="3" t="s">
        <v>6</v>
      </c>
      <c r="O2" s="4" t="s">
        <v>7</v>
      </c>
      <c r="P2" s="2"/>
    </row>
    <row r="3" spans="1:16" ht="13.5" thickBot="1" x14ac:dyDescent="0.25">
      <c r="A3" s="14">
        <v>42401</v>
      </c>
      <c r="B3" s="15">
        <f>9568+3742</f>
        <v>13310</v>
      </c>
      <c r="C3" s="313">
        <f>1098+10551</f>
        <v>11649</v>
      </c>
      <c r="D3" s="15">
        <f>13369+1807</f>
        <v>15176</v>
      </c>
      <c r="E3" s="314">
        <f>504+9645</f>
        <v>10149</v>
      </c>
      <c r="F3" s="315">
        <v>7300</v>
      </c>
      <c r="G3" s="314">
        <f>1003+7309</f>
        <v>8312</v>
      </c>
      <c r="H3" s="315">
        <v>6822</v>
      </c>
      <c r="I3" s="314">
        <v>3812</v>
      </c>
      <c r="J3" s="315">
        <v>13067</v>
      </c>
      <c r="K3" s="314">
        <f>699+3585</f>
        <v>4284</v>
      </c>
      <c r="L3" s="315">
        <f>10587+240</f>
        <v>10827</v>
      </c>
      <c r="M3" s="314">
        <f>59+4826</f>
        <v>4885</v>
      </c>
      <c r="N3" s="315">
        <v>3232</v>
      </c>
      <c r="O3" s="314">
        <f>1472+2024</f>
        <v>3496</v>
      </c>
      <c r="P3" s="20">
        <f>SUM(B3:O3)</f>
        <v>116321</v>
      </c>
    </row>
    <row r="4" spans="1:16" ht="13.5" thickBot="1" x14ac:dyDescent="0.25">
      <c r="A4" s="14">
        <v>42402</v>
      </c>
      <c r="B4" s="15">
        <f>10133+643</f>
        <v>10776</v>
      </c>
      <c r="C4" s="16">
        <f>1310+7238</f>
        <v>8548</v>
      </c>
      <c r="D4" s="17">
        <f>16497+114</f>
        <v>16611</v>
      </c>
      <c r="E4" s="18">
        <f>1861+12415</f>
        <v>14276</v>
      </c>
      <c r="F4" s="19">
        <v>6507</v>
      </c>
      <c r="G4" s="18">
        <f>195+5046</f>
        <v>5241</v>
      </c>
      <c r="H4" s="19">
        <f>14208+1528</f>
        <v>15736</v>
      </c>
      <c r="I4" s="18">
        <v>11560</v>
      </c>
      <c r="J4" s="19">
        <v>9617</v>
      </c>
      <c r="K4" s="18">
        <f>350+2975</f>
        <v>3325</v>
      </c>
      <c r="L4" s="19">
        <f>5895+1643</f>
        <v>7538</v>
      </c>
      <c r="M4" s="18">
        <v>3304</v>
      </c>
      <c r="N4" s="19">
        <v>5202</v>
      </c>
      <c r="O4" s="16">
        <f>1010+2066</f>
        <v>3076</v>
      </c>
      <c r="P4" s="20">
        <f t="shared" ref="P4:P33" si="0">SUM(B4:O4)</f>
        <v>121317</v>
      </c>
    </row>
    <row r="5" spans="1:16" ht="13.5" thickBot="1" x14ac:dyDescent="0.25">
      <c r="A5" s="14">
        <v>42403</v>
      </c>
      <c r="B5" s="15">
        <f>12097+299</f>
        <v>12396</v>
      </c>
      <c r="C5" s="16">
        <f>399+9729</f>
        <v>10128</v>
      </c>
      <c r="D5" s="15">
        <f>17263+2293</f>
        <v>19556</v>
      </c>
      <c r="E5" s="16">
        <f>1589+10695</f>
        <v>12284</v>
      </c>
      <c r="F5" s="19">
        <v>9769</v>
      </c>
      <c r="G5" s="18">
        <f>680+4695</f>
        <v>5375</v>
      </c>
      <c r="H5" s="19">
        <f>9177+280</f>
        <v>9457</v>
      </c>
      <c r="I5" s="18">
        <v>10750</v>
      </c>
      <c r="J5" s="19">
        <f>7476+2194</f>
        <v>9670</v>
      </c>
      <c r="K5" s="18">
        <f>1463+6694</f>
        <v>8157</v>
      </c>
      <c r="L5" s="19">
        <f>8984+559</f>
        <v>9543</v>
      </c>
      <c r="M5" s="18">
        <f>180+4494</f>
        <v>4674</v>
      </c>
      <c r="N5" s="19">
        <v>5882</v>
      </c>
      <c r="O5" s="16">
        <f>403+2124</f>
        <v>2527</v>
      </c>
      <c r="P5" s="20">
        <f t="shared" si="0"/>
        <v>130168</v>
      </c>
    </row>
    <row r="6" spans="1:16" ht="13.5" thickBot="1" x14ac:dyDescent="0.25">
      <c r="A6" s="14">
        <v>42404</v>
      </c>
      <c r="B6" s="15">
        <v>8945</v>
      </c>
      <c r="C6" s="16">
        <f>8588+483</f>
        <v>9071</v>
      </c>
      <c r="D6" s="17">
        <f>15533+1029</f>
        <v>16562</v>
      </c>
      <c r="E6" s="16">
        <f>1109+6322</f>
        <v>7431</v>
      </c>
      <c r="F6" s="17">
        <v>9411</v>
      </c>
      <c r="G6" s="16">
        <v>3589</v>
      </c>
      <c r="H6" s="17">
        <v>15745</v>
      </c>
      <c r="I6" s="16">
        <v>10875</v>
      </c>
      <c r="J6" s="17">
        <v>7131</v>
      </c>
      <c r="K6" s="16">
        <f>399+7830</f>
        <v>8229</v>
      </c>
      <c r="L6" s="17">
        <f>12836+2498</f>
        <v>15334</v>
      </c>
      <c r="M6" s="16">
        <f>300+2857</f>
        <v>3157</v>
      </c>
      <c r="N6" s="17">
        <v>2713</v>
      </c>
      <c r="O6" s="16">
        <f>1353+1170</f>
        <v>2523</v>
      </c>
      <c r="P6" s="20">
        <f t="shared" si="0"/>
        <v>120716</v>
      </c>
    </row>
    <row r="7" spans="1:16" ht="13.5" thickBot="1" x14ac:dyDescent="0.25">
      <c r="A7" s="14">
        <v>42405</v>
      </c>
      <c r="B7" s="15">
        <v>14845</v>
      </c>
      <c r="C7" s="16">
        <f>1101+14617-200</f>
        <v>15518</v>
      </c>
      <c r="D7" s="17">
        <f>20343+5731</f>
        <v>26074</v>
      </c>
      <c r="E7" s="16">
        <f>3523+6615</f>
        <v>10138</v>
      </c>
      <c r="F7" s="17">
        <v>2298</v>
      </c>
      <c r="G7" s="16">
        <f>749+5810</f>
        <v>6559</v>
      </c>
      <c r="H7" s="17">
        <v>9024</v>
      </c>
      <c r="I7" s="16">
        <v>7211</v>
      </c>
      <c r="J7" s="17">
        <v>11092</v>
      </c>
      <c r="K7" s="16">
        <v>4653</v>
      </c>
      <c r="L7" s="17">
        <f>8081+453</f>
        <v>8534</v>
      </c>
      <c r="M7" s="16">
        <v>10172</v>
      </c>
      <c r="N7" s="17">
        <v>4698</v>
      </c>
      <c r="O7" s="16">
        <f>2624+309</f>
        <v>2933</v>
      </c>
      <c r="P7" s="20">
        <f t="shared" si="0"/>
        <v>133749</v>
      </c>
    </row>
    <row r="8" spans="1:16" ht="13.5" thickBot="1" x14ac:dyDescent="0.25">
      <c r="A8" s="14">
        <v>42406</v>
      </c>
      <c r="B8" s="15">
        <v>14290</v>
      </c>
      <c r="C8" s="16">
        <f>2615+5104</f>
        <v>7719</v>
      </c>
      <c r="D8" s="17">
        <f>29206+1158</f>
        <v>30364</v>
      </c>
      <c r="E8" s="16">
        <f>3180+11043</f>
        <v>14223</v>
      </c>
      <c r="F8" s="17">
        <v>12552</v>
      </c>
      <c r="G8" s="16">
        <f>524+5720</f>
        <v>6244</v>
      </c>
      <c r="H8" s="17">
        <v>11655</v>
      </c>
      <c r="I8" s="16">
        <v>10654</v>
      </c>
      <c r="J8" s="17">
        <v>6470</v>
      </c>
      <c r="K8" s="16">
        <f>544+9035</f>
        <v>9579</v>
      </c>
      <c r="L8" s="17">
        <v>15584</v>
      </c>
      <c r="M8" s="16">
        <f>300+15287</f>
        <v>15587</v>
      </c>
      <c r="N8" s="17">
        <v>8554</v>
      </c>
      <c r="O8" s="16">
        <f>482+3384</f>
        <v>3866</v>
      </c>
      <c r="P8" s="20">
        <f t="shared" si="0"/>
        <v>167341</v>
      </c>
    </row>
    <row r="9" spans="1:16" s="13" customFormat="1" ht="13.5" thickBot="1" x14ac:dyDescent="0.25">
      <c r="A9" s="7">
        <v>42407</v>
      </c>
      <c r="B9" s="8"/>
      <c r="C9" s="21"/>
      <c r="D9" s="26"/>
      <c r="E9" s="21"/>
      <c r="F9" s="26"/>
      <c r="G9" s="21"/>
      <c r="H9" s="26"/>
      <c r="I9" s="21"/>
      <c r="J9" s="26"/>
      <c r="K9" s="21"/>
      <c r="L9" s="26"/>
      <c r="M9" s="21"/>
      <c r="N9" s="26"/>
      <c r="O9" s="21"/>
      <c r="P9" s="12">
        <f t="shared" si="0"/>
        <v>0</v>
      </c>
    </row>
    <row r="10" spans="1:16" s="13" customFormat="1" ht="13.5" thickBot="1" x14ac:dyDescent="0.25">
      <c r="A10" s="7">
        <v>42408</v>
      </c>
      <c r="B10" s="8"/>
      <c r="C10" s="21"/>
      <c r="D10" s="26"/>
      <c r="E10" s="21"/>
      <c r="F10" s="26"/>
      <c r="G10" s="21"/>
      <c r="H10" s="26"/>
      <c r="I10" s="21"/>
      <c r="J10" s="26"/>
      <c r="K10" s="21"/>
      <c r="L10" s="26"/>
      <c r="M10" s="21"/>
      <c r="N10" s="26"/>
      <c r="O10" s="21"/>
      <c r="P10" s="12">
        <f t="shared" si="0"/>
        <v>0</v>
      </c>
    </row>
    <row r="11" spans="1:16" ht="13.5" thickBot="1" x14ac:dyDescent="0.25">
      <c r="A11" s="14">
        <v>42409</v>
      </c>
      <c r="B11" s="15">
        <v>5191</v>
      </c>
      <c r="C11" s="16">
        <v>3043</v>
      </c>
      <c r="D11" s="17">
        <v>8263</v>
      </c>
      <c r="E11" s="16">
        <v>3913</v>
      </c>
      <c r="F11" s="17">
        <v>5427</v>
      </c>
      <c r="G11" s="16">
        <f>300+6105</f>
        <v>6405</v>
      </c>
      <c r="H11" s="17">
        <v>3427</v>
      </c>
      <c r="I11" s="16">
        <v>2735</v>
      </c>
      <c r="J11" s="17">
        <v>8435</v>
      </c>
      <c r="K11" s="16">
        <v>2218</v>
      </c>
      <c r="L11" s="17">
        <f>2733+2056</f>
        <v>4789</v>
      </c>
      <c r="M11" s="16">
        <v>1709</v>
      </c>
      <c r="N11" s="17">
        <v>2276</v>
      </c>
      <c r="O11" s="16">
        <f>243+3598</f>
        <v>3841</v>
      </c>
      <c r="P11" s="20">
        <f t="shared" si="0"/>
        <v>61672</v>
      </c>
    </row>
    <row r="12" spans="1:16" ht="13.5" thickBot="1" x14ac:dyDescent="0.25">
      <c r="A12" s="14">
        <v>42410</v>
      </c>
      <c r="B12" s="15">
        <v>7807</v>
      </c>
      <c r="C12" s="16">
        <v>6162</v>
      </c>
      <c r="D12" s="17">
        <f>13505+1268</f>
        <v>14773</v>
      </c>
      <c r="E12" s="16">
        <f>205+11770</f>
        <v>11975</v>
      </c>
      <c r="F12" s="17">
        <v>5909</v>
      </c>
      <c r="G12" s="16">
        <v>2124</v>
      </c>
      <c r="H12" s="17">
        <v>14558</v>
      </c>
      <c r="I12" s="16">
        <v>14878</v>
      </c>
      <c r="J12" s="17">
        <f>7318+749</f>
        <v>8067</v>
      </c>
      <c r="K12" s="16">
        <f>689+5460</f>
        <v>6149</v>
      </c>
      <c r="L12" s="17">
        <f>3283+573</f>
        <v>3856</v>
      </c>
      <c r="M12" s="16">
        <v>6036</v>
      </c>
      <c r="N12" s="17">
        <v>6598</v>
      </c>
      <c r="O12" s="16">
        <f>850+2564</f>
        <v>3414</v>
      </c>
      <c r="P12" s="20">
        <f t="shared" si="0"/>
        <v>112306</v>
      </c>
    </row>
    <row r="13" spans="1:16" ht="13.5" thickBot="1" x14ac:dyDescent="0.25">
      <c r="A13" s="14">
        <v>42411</v>
      </c>
      <c r="B13" s="15">
        <v>8908</v>
      </c>
      <c r="C13" s="16">
        <f>469+8436</f>
        <v>8905</v>
      </c>
      <c r="D13" s="17">
        <f>17532+3190</f>
        <v>20722</v>
      </c>
      <c r="E13" s="16">
        <v>9030</v>
      </c>
      <c r="F13" s="17">
        <v>6300</v>
      </c>
      <c r="G13" s="16">
        <f>317+2978</f>
        <v>3295</v>
      </c>
      <c r="H13" s="17">
        <v>7097</v>
      </c>
      <c r="I13" s="16">
        <v>11396</v>
      </c>
      <c r="J13" s="17">
        <v>8386</v>
      </c>
      <c r="K13" s="16">
        <f>850+4858</f>
        <v>5708</v>
      </c>
      <c r="L13" s="17">
        <f>13060+453</f>
        <v>13513</v>
      </c>
      <c r="M13" s="16">
        <f>840+6410</f>
        <v>7250</v>
      </c>
      <c r="N13" s="17">
        <v>6686</v>
      </c>
      <c r="O13" s="16">
        <f>320+1117</f>
        <v>1437</v>
      </c>
      <c r="P13" s="20">
        <f t="shared" si="0"/>
        <v>118633</v>
      </c>
    </row>
    <row r="14" spans="1:16" ht="13.5" thickBot="1" x14ac:dyDescent="0.25">
      <c r="A14" s="14">
        <v>42412</v>
      </c>
      <c r="B14" s="15">
        <f>9561+892</f>
        <v>10453</v>
      </c>
      <c r="C14" s="16">
        <f>2299+13692</f>
        <v>15991</v>
      </c>
      <c r="D14" s="17">
        <f>11577+742</f>
        <v>12319</v>
      </c>
      <c r="E14" s="16">
        <v>8823</v>
      </c>
      <c r="F14" s="17">
        <v>5139</v>
      </c>
      <c r="G14" s="16">
        <f>895+6654</f>
        <v>7549</v>
      </c>
      <c r="H14" s="17">
        <v>6394</v>
      </c>
      <c r="I14" s="16">
        <v>9842</v>
      </c>
      <c r="J14" s="17">
        <v>1080</v>
      </c>
      <c r="K14" s="16">
        <f>780+2921</f>
        <v>3701</v>
      </c>
      <c r="L14" s="17">
        <f>14826+499</f>
        <v>15325</v>
      </c>
      <c r="M14" s="16">
        <f>400+8222</f>
        <v>8622</v>
      </c>
      <c r="N14" s="17">
        <v>6472</v>
      </c>
      <c r="O14" s="16">
        <f>957+1816</f>
        <v>2773</v>
      </c>
      <c r="P14" s="20">
        <f t="shared" si="0"/>
        <v>114483</v>
      </c>
    </row>
    <row r="15" spans="1:16" ht="13.5" thickBot="1" x14ac:dyDescent="0.25">
      <c r="A15" s="14">
        <v>42413</v>
      </c>
      <c r="B15" s="15">
        <v>13704</v>
      </c>
      <c r="C15" s="16">
        <f>200+14452</f>
        <v>14652</v>
      </c>
      <c r="D15" s="17">
        <f>28172+849</f>
        <v>29021</v>
      </c>
      <c r="E15" s="16">
        <f>960+15866</f>
        <v>16826</v>
      </c>
      <c r="F15" s="17">
        <v>10988</v>
      </c>
      <c r="G15" s="16">
        <f>838+9215</f>
        <v>10053</v>
      </c>
      <c r="H15" s="17">
        <f>18364+252</f>
        <v>18616</v>
      </c>
      <c r="I15" s="16">
        <v>8764</v>
      </c>
      <c r="J15" s="17">
        <v>20594</v>
      </c>
      <c r="K15" s="16">
        <f>6773+219</f>
        <v>6992</v>
      </c>
      <c r="L15" s="17">
        <v>16363</v>
      </c>
      <c r="M15" s="16">
        <f>1575+17248</f>
        <v>18823</v>
      </c>
      <c r="N15" s="27">
        <v>8107</v>
      </c>
      <c r="O15" s="16">
        <f>69+1400</f>
        <v>1469</v>
      </c>
      <c r="P15" s="20">
        <f t="shared" si="0"/>
        <v>194972</v>
      </c>
    </row>
    <row r="16" spans="1:16" s="13" customFormat="1" ht="13.5" thickBot="1" x14ac:dyDescent="0.25">
      <c r="A16" s="7">
        <v>42414</v>
      </c>
      <c r="B16" s="8"/>
      <c r="C16" s="21"/>
      <c r="D16" s="26"/>
      <c r="E16" s="21"/>
      <c r="F16" s="26"/>
      <c r="G16" s="21"/>
      <c r="H16" s="26"/>
      <c r="I16" s="21"/>
      <c r="J16" s="26"/>
      <c r="K16" s="21"/>
      <c r="L16" s="26"/>
      <c r="M16" s="21"/>
      <c r="N16" s="26"/>
      <c r="O16" s="21"/>
      <c r="P16" s="12">
        <f t="shared" si="0"/>
        <v>0</v>
      </c>
    </row>
    <row r="17" spans="1:16" ht="13.5" thickBot="1" x14ac:dyDescent="0.25">
      <c r="A17" s="14">
        <v>42415</v>
      </c>
      <c r="B17" s="15">
        <f>7205+434</f>
        <v>7639</v>
      </c>
      <c r="C17" s="16">
        <f>543+4220</f>
        <v>4763</v>
      </c>
      <c r="D17" s="17">
        <f>7564+510+576</f>
        <v>8650</v>
      </c>
      <c r="E17" s="16">
        <f>200+9135</f>
        <v>9335</v>
      </c>
      <c r="F17" s="17">
        <v>2448</v>
      </c>
      <c r="G17" s="16">
        <v>5127</v>
      </c>
      <c r="H17" s="17">
        <f>8100+4885</f>
        <v>12985</v>
      </c>
      <c r="I17" s="16">
        <v>10069</v>
      </c>
      <c r="J17" s="17">
        <f>6641+468</f>
        <v>7109</v>
      </c>
      <c r="K17" s="16">
        <f>363+4207</f>
        <v>4570</v>
      </c>
      <c r="L17" s="17">
        <f>9607+1344</f>
        <v>10951</v>
      </c>
      <c r="M17" s="16">
        <f>100+3985</f>
        <v>4085</v>
      </c>
      <c r="N17" s="17">
        <f>1024+379</f>
        <v>1403</v>
      </c>
      <c r="O17" s="16">
        <f>114+1494</f>
        <v>1608</v>
      </c>
      <c r="P17" s="20">
        <f t="shared" si="0"/>
        <v>90742</v>
      </c>
    </row>
    <row r="18" spans="1:16" ht="13.5" thickBot="1" x14ac:dyDescent="0.25">
      <c r="A18" s="14">
        <v>42416</v>
      </c>
      <c r="B18" s="15">
        <v>9161</v>
      </c>
      <c r="C18" s="16">
        <f>7909+3341</f>
        <v>11250</v>
      </c>
      <c r="D18" s="17">
        <v>8928</v>
      </c>
      <c r="E18" s="16">
        <f>1957+556</f>
        <v>2513</v>
      </c>
      <c r="F18" s="17">
        <v>4565</v>
      </c>
      <c r="G18" s="16">
        <v>3085</v>
      </c>
      <c r="H18" s="17">
        <f>9905+672</f>
        <v>10577</v>
      </c>
      <c r="I18" s="16">
        <v>5535</v>
      </c>
      <c r="J18" s="17">
        <v>1080</v>
      </c>
      <c r="K18" s="16">
        <f>780+2921</f>
        <v>3701</v>
      </c>
      <c r="L18" s="17">
        <v>9375</v>
      </c>
      <c r="M18" s="16">
        <v>6087</v>
      </c>
      <c r="N18" s="17">
        <v>3304</v>
      </c>
      <c r="O18" s="16">
        <v>1252</v>
      </c>
      <c r="P18" s="20">
        <f t="shared" si="0"/>
        <v>80413</v>
      </c>
    </row>
    <row r="19" spans="1:16" ht="13.5" thickBot="1" x14ac:dyDescent="0.25">
      <c r="A19" s="14">
        <v>42417</v>
      </c>
      <c r="B19" s="15">
        <v>6874</v>
      </c>
      <c r="C19" s="16">
        <f>1111+7213</f>
        <v>8324</v>
      </c>
      <c r="D19" s="17">
        <v>11275</v>
      </c>
      <c r="E19" s="16">
        <v>5035</v>
      </c>
      <c r="F19" s="17">
        <v>749</v>
      </c>
      <c r="G19" s="16">
        <f>336+3726</f>
        <v>4062</v>
      </c>
      <c r="H19" s="17">
        <f>11125+576</f>
        <v>11701</v>
      </c>
      <c r="I19" s="16">
        <v>3902</v>
      </c>
      <c r="J19" s="17">
        <f>8014+359</f>
        <v>8373</v>
      </c>
      <c r="K19" s="16">
        <f>389+2241</f>
        <v>2630</v>
      </c>
      <c r="L19" s="17">
        <v>6635</v>
      </c>
      <c r="M19" s="16">
        <f>7078+1377</f>
        <v>8455</v>
      </c>
      <c r="N19" s="17">
        <v>2158</v>
      </c>
      <c r="O19" s="16">
        <v>3933</v>
      </c>
      <c r="P19" s="20">
        <f t="shared" si="0"/>
        <v>84106</v>
      </c>
    </row>
    <row r="20" spans="1:16" ht="13.5" thickBot="1" x14ac:dyDescent="0.25">
      <c r="A20" s="14">
        <v>42418</v>
      </c>
      <c r="B20" s="15">
        <v>6561</v>
      </c>
      <c r="C20" s="16">
        <f>350+9316</f>
        <v>9666</v>
      </c>
      <c r="D20" s="15">
        <f>10021+128</f>
        <v>10149</v>
      </c>
      <c r="E20" s="16">
        <f>1359+2315</f>
        <v>3674</v>
      </c>
      <c r="F20" s="17">
        <v>10061</v>
      </c>
      <c r="G20" s="16">
        <f>700+2980</f>
        <v>3680</v>
      </c>
      <c r="H20" s="17">
        <v>9623</v>
      </c>
      <c r="I20" s="16">
        <v>5914</v>
      </c>
      <c r="J20" s="17">
        <v>4169</v>
      </c>
      <c r="K20" s="16">
        <f>967+3246</f>
        <v>4213</v>
      </c>
      <c r="L20" s="17">
        <f>5756+475</f>
        <v>6231</v>
      </c>
      <c r="M20" s="16">
        <f>200+2998</f>
        <v>3198</v>
      </c>
      <c r="N20" s="17">
        <v>9831</v>
      </c>
      <c r="O20" s="16">
        <f>977+4051</f>
        <v>5028</v>
      </c>
      <c r="P20" s="20">
        <f t="shared" si="0"/>
        <v>91998</v>
      </c>
    </row>
    <row r="21" spans="1:16" ht="13.5" thickBot="1" x14ac:dyDescent="0.25">
      <c r="A21" s="14">
        <v>42419</v>
      </c>
      <c r="B21" s="15">
        <f>14149+672</f>
        <v>14821</v>
      </c>
      <c r="C21" s="16">
        <f>265+9737</f>
        <v>10002</v>
      </c>
      <c r="D21" s="17">
        <f>17679+191</f>
        <v>17870</v>
      </c>
      <c r="E21" s="16">
        <f>1726+8970</f>
        <v>10696</v>
      </c>
      <c r="F21" s="17">
        <f>3461+4417</f>
        <v>7878</v>
      </c>
      <c r="G21" s="16">
        <f>614+3307</f>
        <v>3921</v>
      </c>
      <c r="H21" s="17">
        <v>6149</v>
      </c>
      <c r="I21" s="16">
        <v>4542</v>
      </c>
      <c r="J21" s="17">
        <f>10497+1622</f>
        <v>12119</v>
      </c>
      <c r="K21" s="16">
        <f>300+2180</f>
        <v>2480</v>
      </c>
      <c r="L21" s="17">
        <v>5787</v>
      </c>
      <c r="M21" s="16">
        <f>1766+8107</f>
        <v>9873</v>
      </c>
      <c r="N21" s="28">
        <v>7992</v>
      </c>
      <c r="O21" s="29">
        <f>486+5242</f>
        <v>5728</v>
      </c>
      <c r="P21" s="20">
        <f t="shared" si="0"/>
        <v>119858</v>
      </c>
    </row>
    <row r="22" spans="1:16" ht="13.5" thickBot="1" x14ac:dyDescent="0.25">
      <c r="A22" s="14">
        <v>42420</v>
      </c>
      <c r="B22" s="316">
        <f>14510+1624</f>
        <v>16134</v>
      </c>
      <c r="C22" s="25">
        <f>350+8185</f>
        <v>8535</v>
      </c>
      <c r="D22" s="15">
        <f>23555+429</f>
        <v>23984</v>
      </c>
      <c r="E22" s="16">
        <f>1068+17630</f>
        <v>18698</v>
      </c>
      <c r="F22" s="17">
        <v>13702</v>
      </c>
      <c r="G22" s="16">
        <f>87+6470</f>
        <v>6557</v>
      </c>
      <c r="H22" s="17">
        <f>9941+190</f>
        <v>10131</v>
      </c>
      <c r="I22" s="16">
        <v>7801</v>
      </c>
      <c r="J22" s="17">
        <v>10614</v>
      </c>
      <c r="K22" s="16">
        <f>500+3963</f>
        <v>4463</v>
      </c>
      <c r="L22" s="17">
        <f>17443+534</f>
        <v>17977</v>
      </c>
      <c r="M22" s="16">
        <f>990+3347</f>
        <v>4337</v>
      </c>
      <c r="N22" s="17">
        <v>8119</v>
      </c>
      <c r="O22" s="30">
        <f>738+3245</f>
        <v>3983</v>
      </c>
      <c r="P22" s="20">
        <f t="shared" si="0"/>
        <v>155035</v>
      </c>
    </row>
    <row r="23" spans="1:16" s="13" customFormat="1" ht="13.5" thickBot="1" x14ac:dyDescent="0.25">
      <c r="A23" s="7">
        <v>42421</v>
      </c>
      <c r="B23" s="8"/>
      <c r="C23" s="21"/>
      <c r="D23" s="26"/>
      <c r="E23" s="21"/>
      <c r="F23" s="26"/>
      <c r="G23" s="21"/>
      <c r="H23" s="26"/>
      <c r="I23" s="21"/>
      <c r="J23" s="26"/>
      <c r="K23" s="21"/>
      <c r="L23" s="26"/>
      <c r="M23" s="21"/>
      <c r="N23" s="26"/>
      <c r="O23" s="21"/>
      <c r="P23" s="12">
        <f t="shared" si="0"/>
        <v>0</v>
      </c>
    </row>
    <row r="24" spans="1:16" ht="13.5" thickBot="1" x14ac:dyDescent="0.25">
      <c r="A24" s="14">
        <v>42422</v>
      </c>
      <c r="B24" s="15">
        <v>6353</v>
      </c>
      <c r="C24" s="16">
        <f>2616+7526</f>
        <v>10142</v>
      </c>
      <c r="D24" s="17">
        <f>6278+1231</f>
        <v>7509</v>
      </c>
      <c r="E24" s="16">
        <f>530+3002</f>
        <v>3532</v>
      </c>
      <c r="F24" s="17">
        <v>5903</v>
      </c>
      <c r="G24" s="16">
        <f>202+3951</f>
        <v>4153</v>
      </c>
      <c r="H24" s="17">
        <f>7911+190</f>
        <v>8101</v>
      </c>
      <c r="I24" s="16">
        <v>3735</v>
      </c>
      <c r="J24" s="17">
        <v>3503</v>
      </c>
      <c r="K24" s="16">
        <f>960+1638</f>
        <v>2598</v>
      </c>
      <c r="L24" s="17">
        <v>9345</v>
      </c>
      <c r="M24" s="16">
        <f>3252+7574</f>
        <v>10826</v>
      </c>
      <c r="N24" s="17">
        <v>5316</v>
      </c>
      <c r="O24" s="16">
        <f>343+538</f>
        <v>881</v>
      </c>
      <c r="P24" s="20">
        <f t="shared" si="0"/>
        <v>81897</v>
      </c>
    </row>
    <row r="25" spans="1:16" ht="13.5" thickBot="1" x14ac:dyDescent="0.25">
      <c r="A25" s="14">
        <v>42423</v>
      </c>
      <c r="B25" s="15">
        <f>5416+729+385</f>
        <v>6530</v>
      </c>
      <c r="C25" s="16">
        <f>1519+6456</f>
        <v>7975</v>
      </c>
      <c r="D25" s="17">
        <f>12568+559</f>
        <v>13127</v>
      </c>
      <c r="E25" s="16">
        <f>1223+7371</f>
        <v>8594</v>
      </c>
      <c r="F25" s="17"/>
      <c r="G25" s="16"/>
      <c r="H25" s="17">
        <v>6697</v>
      </c>
      <c r="I25" s="16">
        <v>5143</v>
      </c>
      <c r="J25" s="17">
        <v>4325</v>
      </c>
      <c r="K25" s="16">
        <f>100+3493</f>
        <v>3593</v>
      </c>
      <c r="L25" s="17">
        <v>4833</v>
      </c>
      <c r="M25" s="16">
        <f>603+8263</f>
        <v>8866</v>
      </c>
      <c r="N25" s="17">
        <v>5426</v>
      </c>
      <c r="O25" s="16">
        <f>1122+873</f>
        <v>1995</v>
      </c>
      <c r="P25" s="20">
        <f t="shared" si="0"/>
        <v>77104</v>
      </c>
    </row>
    <row r="26" spans="1:16" ht="13.5" thickBot="1" x14ac:dyDescent="0.25">
      <c r="A26" s="14">
        <v>42424</v>
      </c>
      <c r="B26" s="15">
        <v>2672</v>
      </c>
      <c r="C26" s="16">
        <f>1365+3896</f>
        <v>5261</v>
      </c>
      <c r="D26" s="17">
        <v>9101</v>
      </c>
      <c r="E26" s="16">
        <f>4757+2101</f>
        <v>6858</v>
      </c>
      <c r="F26" s="17">
        <v>4773</v>
      </c>
      <c r="G26" s="16">
        <f>200+1277</f>
        <v>1477</v>
      </c>
      <c r="H26" s="17">
        <v>3900</v>
      </c>
      <c r="I26" s="16">
        <v>8487</v>
      </c>
      <c r="J26" s="17">
        <f>2121+2660</f>
        <v>4781</v>
      </c>
      <c r="K26" s="16">
        <f>1239+325</f>
        <v>1564</v>
      </c>
      <c r="L26" s="17">
        <v>5507</v>
      </c>
      <c r="M26" s="16">
        <v>3379</v>
      </c>
      <c r="N26" s="17"/>
      <c r="O26" s="16"/>
      <c r="P26" s="20">
        <f t="shared" si="0"/>
        <v>57760</v>
      </c>
    </row>
    <row r="27" spans="1:16" ht="13.5" thickBot="1" x14ac:dyDescent="0.25">
      <c r="A27" s="14">
        <v>42425</v>
      </c>
      <c r="B27" s="15">
        <v>13725</v>
      </c>
      <c r="C27" s="16">
        <f>1264+4348</f>
        <v>5612</v>
      </c>
      <c r="D27" s="17">
        <f>23765+308</f>
        <v>24073</v>
      </c>
      <c r="E27" s="16">
        <f>600+10344</f>
        <v>10944</v>
      </c>
      <c r="F27" s="17">
        <v>10791</v>
      </c>
      <c r="G27" s="16">
        <v>2433</v>
      </c>
      <c r="H27" s="17">
        <f>3165+5132</f>
        <v>8297</v>
      </c>
      <c r="I27" s="16">
        <f>4119+5055</f>
        <v>9174</v>
      </c>
      <c r="J27" s="17">
        <v>5511</v>
      </c>
      <c r="K27" s="16">
        <f>1643+1953</f>
        <v>3596</v>
      </c>
      <c r="L27" s="17">
        <v>9066</v>
      </c>
      <c r="M27" s="16">
        <f>150+2874</f>
        <v>3024</v>
      </c>
      <c r="N27" s="17">
        <v>5748</v>
      </c>
      <c r="O27" s="16">
        <f>586+1400</f>
        <v>1986</v>
      </c>
      <c r="P27" s="20">
        <f t="shared" si="0"/>
        <v>113980</v>
      </c>
    </row>
    <row r="28" spans="1:16" ht="13.5" thickBot="1" x14ac:dyDescent="0.25">
      <c r="A28" s="14">
        <v>42426</v>
      </c>
      <c r="B28" s="15">
        <f>9029+938</f>
        <v>9967</v>
      </c>
      <c r="C28" s="16">
        <f>2730+4806</f>
        <v>7536</v>
      </c>
      <c r="D28" s="17">
        <f>22376+1295</f>
        <v>23671</v>
      </c>
      <c r="E28" s="16">
        <f>571+8701</f>
        <v>9272</v>
      </c>
      <c r="F28" s="17">
        <v>3007</v>
      </c>
      <c r="G28" s="16">
        <v>4182</v>
      </c>
      <c r="H28" s="17">
        <f>5106+492</f>
        <v>5598</v>
      </c>
      <c r="I28" s="16">
        <v>2543</v>
      </c>
      <c r="J28" s="17">
        <f>8667+2003</f>
        <v>10670</v>
      </c>
      <c r="K28" s="16">
        <f>1458+2518</f>
        <v>3976</v>
      </c>
      <c r="L28" s="17">
        <v>20751</v>
      </c>
      <c r="M28" s="16">
        <v>8645</v>
      </c>
      <c r="N28" s="17">
        <v>11544</v>
      </c>
      <c r="O28" s="16">
        <f>219+2532</f>
        <v>2751</v>
      </c>
      <c r="P28" s="20">
        <f t="shared" si="0"/>
        <v>124113</v>
      </c>
    </row>
    <row r="29" spans="1:16" ht="13.5" thickBot="1" x14ac:dyDescent="0.25">
      <c r="A29" s="14">
        <v>42427</v>
      </c>
      <c r="B29" s="15">
        <v>17765</v>
      </c>
      <c r="C29" s="16">
        <f>2266+10877</f>
        <v>13143</v>
      </c>
      <c r="D29" s="17">
        <f>36448+1821</f>
        <v>38269</v>
      </c>
      <c r="E29" s="16">
        <f>5382+7010</f>
        <v>12392</v>
      </c>
      <c r="F29" s="17">
        <f>14024+5316</f>
        <v>19340</v>
      </c>
      <c r="G29" s="16">
        <f>424+5143</f>
        <v>5567</v>
      </c>
      <c r="H29" s="17">
        <f>14535+439</f>
        <v>14974</v>
      </c>
      <c r="I29" s="16">
        <f>100+5767</f>
        <v>5867</v>
      </c>
      <c r="J29" s="17">
        <v>18246</v>
      </c>
      <c r="K29" s="16">
        <f>1004+3265</f>
        <v>4269</v>
      </c>
      <c r="L29" s="17">
        <f>24555+1652</f>
        <v>26207</v>
      </c>
      <c r="M29" s="16">
        <f>3821+8136-166</f>
        <v>11791</v>
      </c>
      <c r="N29" s="17">
        <v>6621</v>
      </c>
      <c r="O29" s="16">
        <f>630+4786</f>
        <v>5416</v>
      </c>
      <c r="P29" s="20">
        <f t="shared" si="0"/>
        <v>199867</v>
      </c>
    </row>
    <row r="30" spans="1:16" s="13" customFormat="1" ht="13.5" thickBot="1" x14ac:dyDescent="0.25">
      <c r="A30" s="7">
        <v>42428</v>
      </c>
      <c r="B30" s="8"/>
      <c r="C30" s="21"/>
      <c r="D30" s="26"/>
      <c r="E30" s="21"/>
      <c r="F30" s="26"/>
      <c r="G30" s="21"/>
      <c r="H30" s="26"/>
      <c r="I30" s="21"/>
      <c r="J30" s="26"/>
      <c r="K30" s="21"/>
      <c r="L30" s="26"/>
      <c r="M30" s="21"/>
      <c r="N30" s="26"/>
      <c r="O30" s="21"/>
      <c r="P30" s="12">
        <f t="shared" si="0"/>
        <v>0</v>
      </c>
    </row>
    <row r="31" spans="1:16" ht="13.5" thickBot="1" x14ac:dyDescent="0.25">
      <c r="A31" s="14">
        <v>42429</v>
      </c>
      <c r="B31" s="15">
        <v>10500</v>
      </c>
      <c r="C31" s="16">
        <v>5069</v>
      </c>
      <c r="D31" s="17">
        <f>5260+1256</f>
        <v>6516</v>
      </c>
      <c r="E31" s="16">
        <f>1398+5645</f>
        <v>7043</v>
      </c>
      <c r="F31" s="17"/>
      <c r="G31" s="16"/>
      <c r="H31" s="17">
        <f>5480+938</f>
        <v>6418</v>
      </c>
      <c r="I31" s="16">
        <f>1265+3833</f>
        <v>5098</v>
      </c>
      <c r="J31" s="17">
        <f>5410+1071</f>
        <v>6481</v>
      </c>
      <c r="K31" s="16">
        <f>880+3515</f>
        <v>4395</v>
      </c>
      <c r="L31" s="17">
        <f>7842+1148</f>
        <v>8990</v>
      </c>
      <c r="M31" s="16">
        <f>1164+4404+610</f>
        <v>6178</v>
      </c>
      <c r="N31" s="17">
        <v>2561</v>
      </c>
      <c r="O31" s="16">
        <f>956+741</f>
        <v>1697</v>
      </c>
      <c r="P31" s="20">
        <f t="shared" si="0"/>
        <v>70946</v>
      </c>
    </row>
    <row r="32" spans="1:16" ht="13.5" thickBot="1" x14ac:dyDescent="0.25">
      <c r="A32" s="14"/>
      <c r="B32" s="15"/>
      <c r="C32" s="16"/>
      <c r="D32" s="17"/>
      <c r="E32" s="16"/>
      <c r="F32" s="17"/>
      <c r="G32" s="16"/>
      <c r="H32" s="17"/>
      <c r="I32" s="16"/>
      <c r="J32" s="17"/>
      <c r="K32" s="16"/>
      <c r="L32" s="17"/>
      <c r="M32" s="16"/>
      <c r="N32" s="17"/>
      <c r="O32" s="16"/>
      <c r="P32" s="20">
        <f t="shared" si="0"/>
        <v>0</v>
      </c>
    </row>
    <row r="33" spans="1:16" ht="13.5" thickBot="1" x14ac:dyDescent="0.25">
      <c r="A33" s="14"/>
      <c r="B33" s="15"/>
      <c r="C33" s="16"/>
      <c r="D33" s="17"/>
      <c r="E33" s="16"/>
      <c r="F33" s="17"/>
      <c r="G33" s="16"/>
      <c r="H33" s="17"/>
      <c r="I33" s="16"/>
      <c r="J33" s="17"/>
      <c r="K33" s="16"/>
      <c r="L33" s="17"/>
      <c r="M33" s="16"/>
      <c r="N33" s="17"/>
      <c r="O33" s="16"/>
      <c r="P33" s="20">
        <f t="shared" si="0"/>
        <v>0</v>
      </c>
    </row>
    <row r="34" spans="1:16" ht="13.5" thickBot="1" x14ac:dyDescent="0.25">
      <c r="A34" s="317" t="s">
        <v>8</v>
      </c>
      <c r="B34" s="318">
        <f>SUM(B3:B33)</f>
        <v>249327</v>
      </c>
      <c r="C34" s="319">
        <f t="shared" ref="C34:O34" si="1">SUM(C3:C33)</f>
        <v>218664</v>
      </c>
      <c r="D34" s="318">
        <f t="shared" si="1"/>
        <v>412563</v>
      </c>
      <c r="E34" s="319">
        <f t="shared" si="1"/>
        <v>227654</v>
      </c>
      <c r="F34" s="318">
        <f t="shared" si="1"/>
        <v>164817</v>
      </c>
      <c r="G34" s="319">
        <f t="shared" si="1"/>
        <v>108990</v>
      </c>
      <c r="H34" s="318">
        <f t="shared" si="1"/>
        <v>233682</v>
      </c>
      <c r="I34" s="319">
        <f t="shared" si="1"/>
        <v>180287</v>
      </c>
      <c r="J34" s="318">
        <f t="shared" si="1"/>
        <v>200590</v>
      </c>
      <c r="K34" s="319">
        <f t="shared" si="1"/>
        <v>109043</v>
      </c>
      <c r="L34" s="320">
        <f t="shared" si="1"/>
        <v>262861</v>
      </c>
      <c r="M34" s="321">
        <f t="shared" si="1"/>
        <v>172963</v>
      </c>
      <c r="N34" s="320">
        <f t="shared" si="1"/>
        <v>130443</v>
      </c>
      <c r="O34" s="321">
        <f t="shared" si="1"/>
        <v>67613</v>
      </c>
      <c r="P34" s="322"/>
    </row>
    <row r="35" spans="1:16" ht="13.5" thickBot="1" x14ac:dyDescent="0.25">
      <c r="A35" s="42"/>
      <c r="B35" s="323" t="s">
        <v>9</v>
      </c>
      <c r="C35" s="324">
        <f>+B34+C34</f>
        <v>467991</v>
      </c>
      <c r="D35" s="325" t="s">
        <v>10</v>
      </c>
      <c r="E35" s="326">
        <f>+D34+E34</f>
        <v>640217</v>
      </c>
      <c r="F35" s="327" t="s">
        <v>11</v>
      </c>
      <c r="G35" s="328">
        <f>+F34+G34</f>
        <v>273807</v>
      </c>
      <c r="H35" s="329" t="s">
        <v>12</v>
      </c>
      <c r="I35" s="324">
        <f>+H34+I34</f>
        <v>413969</v>
      </c>
      <c r="J35" s="327" t="s">
        <v>13</v>
      </c>
      <c r="K35" s="328">
        <f>+J34+K34</f>
        <v>309633</v>
      </c>
      <c r="L35" s="330" t="s">
        <v>14</v>
      </c>
      <c r="M35" s="330">
        <f>+L34+M34</f>
        <v>435824</v>
      </c>
      <c r="N35" s="325" t="s">
        <v>15</v>
      </c>
      <c r="O35" s="326">
        <f>+N34+O34</f>
        <v>198056</v>
      </c>
      <c r="P35" s="51">
        <f>SUM(P3:P33)</f>
        <v>2739497</v>
      </c>
    </row>
    <row r="36" spans="1:16" ht="13.5" thickBot="1" x14ac:dyDescent="0.25">
      <c r="B36" s="331">
        <f>+B34/C35*100</f>
        <v>53.276024538933441</v>
      </c>
      <c r="C36" s="331">
        <f>+C34/C35*100</f>
        <v>46.723975461066559</v>
      </c>
      <c r="D36" s="331">
        <f>+D34/E35*100</f>
        <v>64.441119183027013</v>
      </c>
      <c r="E36" s="331">
        <f>+E34/E35*100</f>
        <v>35.558880816972994</v>
      </c>
      <c r="F36" s="331">
        <f>+F34/G35*100</f>
        <v>60.194589619695627</v>
      </c>
      <c r="G36" s="331">
        <f>+G34/G35*100</f>
        <v>39.805410380304373</v>
      </c>
      <c r="H36" s="331">
        <f>+H34/I35*100</f>
        <v>56.449154405281554</v>
      </c>
      <c r="I36" s="331">
        <f>+I34/I35*100</f>
        <v>43.550845594718446</v>
      </c>
      <c r="J36" s="331">
        <f>+J34/K35*100</f>
        <v>64.783146499242648</v>
      </c>
      <c r="K36" s="331">
        <f>+K34/K35*100</f>
        <v>35.216853500757352</v>
      </c>
      <c r="L36" s="331">
        <f>+L34/M35*100</f>
        <v>60.313566944454642</v>
      </c>
      <c r="M36" s="331">
        <f>+M34/M35*100</f>
        <v>39.686433055545358</v>
      </c>
      <c r="N36" s="331">
        <f>+N34/O35*100</f>
        <v>65.861675485721207</v>
      </c>
      <c r="O36" s="331">
        <f>+O34/O35*100</f>
        <v>34.138324514278793</v>
      </c>
    </row>
    <row r="37" spans="1:16" ht="13.5" thickBot="1" x14ac:dyDescent="0.25">
      <c r="A37" s="56" t="s">
        <v>17</v>
      </c>
      <c r="B37" s="332"/>
      <c r="C37" s="333">
        <f>C35/P35</f>
        <v>0.1708309956170786</v>
      </c>
      <c r="D37" s="333"/>
      <c r="E37" s="333">
        <f>E35/P35</f>
        <v>0.23369874104625776</v>
      </c>
      <c r="F37" s="333"/>
      <c r="G37" s="333">
        <f>G35/P35</f>
        <v>9.9947910145548616E-2</v>
      </c>
      <c r="H37" s="333"/>
      <c r="I37" s="333">
        <f>I35/P35</f>
        <v>0.1511113171505572</v>
      </c>
      <c r="J37" s="333"/>
      <c r="K37" s="333">
        <f>K35/P35</f>
        <v>0.11302549336611795</v>
      </c>
      <c r="L37" s="333"/>
      <c r="M37" s="333">
        <f>M35/P35</f>
        <v>0.15908905904989126</v>
      </c>
      <c r="N37" s="333"/>
      <c r="O37" s="333">
        <f>+O35/P35</f>
        <v>7.2296483624548588E-2</v>
      </c>
      <c r="P37" s="59">
        <f>P35/P35</f>
        <v>1</v>
      </c>
    </row>
    <row r="38" spans="1:16" ht="13.5" thickBot="1" x14ac:dyDescent="0.25">
      <c r="A38" s="60" t="s">
        <v>18</v>
      </c>
      <c r="B38" s="61"/>
      <c r="C38" s="62">
        <f>C35/25</f>
        <v>18719.64</v>
      </c>
      <c r="D38" s="62"/>
      <c r="E38" s="62">
        <f t="shared" ref="E38:O38" si="2">E35/26</f>
        <v>24623.73076923077</v>
      </c>
      <c r="F38" s="62"/>
      <c r="G38" s="62">
        <f t="shared" si="2"/>
        <v>10531.038461538461</v>
      </c>
      <c r="H38" s="62"/>
      <c r="I38" s="62">
        <f t="shared" si="2"/>
        <v>15921.884615384615</v>
      </c>
      <c r="J38" s="62"/>
      <c r="K38" s="62">
        <f t="shared" si="2"/>
        <v>11908.961538461539</v>
      </c>
      <c r="L38" s="62"/>
      <c r="M38" s="62">
        <f t="shared" si="2"/>
        <v>16762.461538461539</v>
      </c>
      <c r="N38" s="62"/>
      <c r="O38" s="62">
        <f t="shared" si="2"/>
        <v>7617.5384615384619</v>
      </c>
      <c r="P38" s="334">
        <f>P35/25</f>
        <v>109579.88</v>
      </c>
    </row>
    <row r="39" spans="1:16" ht="16.5" thickBot="1" x14ac:dyDescent="0.3">
      <c r="C39" s="64" t="s">
        <v>1</v>
      </c>
      <c r="D39" s="64"/>
      <c r="E39" s="64">
        <v>48</v>
      </c>
      <c r="F39" s="65"/>
      <c r="G39" s="65" t="s">
        <v>2</v>
      </c>
      <c r="H39" s="65"/>
      <c r="I39" s="65" t="s">
        <v>3</v>
      </c>
      <c r="J39" s="65"/>
      <c r="K39" s="65">
        <v>12</v>
      </c>
      <c r="L39" s="65"/>
      <c r="M39" s="65">
        <v>49</v>
      </c>
      <c r="N39" s="66"/>
      <c r="O39" s="66" t="s">
        <v>4</v>
      </c>
      <c r="P39" s="340">
        <f>SUM(C40:M40)</f>
        <v>7508</v>
      </c>
    </row>
    <row r="40" spans="1:16" ht="16.5" thickBot="1" x14ac:dyDescent="0.3">
      <c r="A40" s="335" t="s">
        <v>105</v>
      </c>
      <c r="B40" s="336"/>
      <c r="C40" s="337">
        <f>679+633</f>
        <v>1312</v>
      </c>
      <c r="D40" s="337"/>
      <c r="E40" s="337">
        <f>1001+729</f>
        <v>1730</v>
      </c>
      <c r="F40" s="337"/>
      <c r="G40" s="337">
        <f>525+408</f>
        <v>933</v>
      </c>
      <c r="H40" s="337"/>
      <c r="I40" s="337">
        <f>55+71+1225</f>
        <v>1351</v>
      </c>
      <c r="J40" s="337"/>
      <c r="K40" s="337">
        <f>612+356</f>
        <v>968</v>
      </c>
      <c r="L40" s="338"/>
      <c r="M40" s="338">
        <f>703+511</f>
        <v>1214</v>
      </c>
      <c r="N40" s="338"/>
      <c r="O40" s="338"/>
      <c r="P40" s="342">
        <f>AVERAGE(C40:M40)</f>
        <v>1251.3333333333333</v>
      </c>
    </row>
    <row r="41" spans="1:16" ht="16.5" thickBot="1" x14ac:dyDescent="0.3">
      <c r="A41" s="74" t="s">
        <v>20</v>
      </c>
      <c r="B41" s="75"/>
      <c r="C41" s="77">
        <f>+C35/C40</f>
        <v>356.70045731707319</v>
      </c>
      <c r="D41" s="77"/>
      <c r="E41" s="77">
        <f>+E35/E40</f>
        <v>370.06763005780346</v>
      </c>
      <c r="F41" s="77"/>
      <c r="G41" s="77">
        <f>+G35/G40</f>
        <v>293.46945337620576</v>
      </c>
      <c r="H41" s="77"/>
      <c r="I41" s="77">
        <f>+I35/I40</f>
        <v>306.41672834937083</v>
      </c>
      <c r="J41" s="77"/>
      <c r="K41" s="339">
        <f>+K35/K40</f>
        <v>319.86880165289256</v>
      </c>
      <c r="L41" s="339"/>
      <c r="M41" s="77">
        <f>+M35/M40</f>
        <v>358.99835255354202</v>
      </c>
      <c r="N41" s="77"/>
      <c r="O41" s="77" t="e">
        <f>+O35/O40</f>
        <v>#DIV/0!</v>
      </c>
      <c r="P41" s="341">
        <f>+P35/P39</f>
        <v>364.87706446457111</v>
      </c>
    </row>
    <row r="42" spans="1:16" x14ac:dyDescent="0.2">
      <c r="A42" s="79"/>
      <c r="B42" s="79"/>
      <c r="C42" s="80"/>
      <c r="D42" s="80"/>
      <c r="E42" s="80"/>
      <c r="F42" s="80"/>
      <c r="G42" s="80"/>
      <c r="H42" s="80"/>
      <c r="I42" s="80"/>
      <c r="J42" s="80"/>
      <c r="K42" s="81"/>
      <c r="L42" s="81"/>
      <c r="M42" s="80"/>
      <c r="N42" s="80"/>
      <c r="O42" s="80"/>
      <c r="P42" s="82"/>
    </row>
    <row r="43" spans="1:16" x14ac:dyDescent="0.2">
      <c r="A43" s="651" t="s">
        <v>21</v>
      </c>
      <c r="B43" s="651"/>
      <c r="C43" s="83" t="s">
        <v>22</v>
      </c>
      <c r="F43" s="652" t="s">
        <v>23</v>
      </c>
      <c r="G43" s="652"/>
      <c r="H43" s="84" t="s">
        <v>22</v>
      </c>
      <c r="K43" s="653" t="s">
        <v>24</v>
      </c>
      <c r="L43" s="653"/>
      <c r="M43" s="85" t="s">
        <v>22</v>
      </c>
    </row>
    <row r="44" spans="1:16" x14ac:dyDescent="0.2">
      <c r="A44" s="83" t="s">
        <v>25</v>
      </c>
      <c r="B44" s="86">
        <f>+C34+E34+I34+O34</f>
        <v>694218</v>
      </c>
      <c r="C44" s="86">
        <f>+(B44/B46)*100</f>
        <v>40.35604479160672</v>
      </c>
      <c r="F44" s="84" t="s">
        <v>26</v>
      </c>
      <c r="G44" s="87">
        <f>+G34+K34+M34</f>
        <v>390996</v>
      </c>
      <c r="H44" s="87">
        <f>+(G44/G46)*100</f>
        <v>38.360620997111646</v>
      </c>
      <c r="K44" s="85" t="s">
        <v>26</v>
      </c>
      <c r="L44" s="88">
        <f>+B44+G44</f>
        <v>1085214</v>
      </c>
      <c r="M44" s="88">
        <f>+L44/L46*100</f>
        <v>39.613622500772955</v>
      </c>
    </row>
    <row r="45" spans="1:16" x14ac:dyDescent="0.2">
      <c r="A45" s="83" t="s">
        <v>27</v>
      </c>
      <c r="B45" s="86">
        <f>+B34+D34+H34+N34</f>
        <v>1026015</v>
      </c>
      <c r="C45" s="86">
        <f>+(B45/B46)*100</f>
        <v>59.643955208393287</v>
      </c>
      <c r="F45" s="84" t="s">
        <v>28</v>
      </c>
      <c r="G45" s="87">
        <f>+F34+J34+L34</f>
        <v>628268</v>
      </c>
      <c r="H45" s="87">
        <f>+(G45/G46)*100</f>
        <v>61.639379002888361</v>
      </c>
      <c r="K45" s="85" t="s">
        <v>29</v>
      </c>
      <c r="L45" s="88">
        <f>+B45+G45</f>
        <v>1654283</v>
      </c>
      <c r="M45" s="88">
        <f>+L45/L46*100</f>
        <v>60.386377499227052</v>
      </c>
    </row>
    <row r="46" spans="1:16" x14ac:dyDescent="0.2">
      <c r="A46" s="89"/>
      <c r="B46" s="90">
        <f>+B44+B45</f>
        <v>1720233</v>
      </c>
      <c r="C46" s="89"/>
      <c r="F46" s="91"/>
      <c r="G46" s="92">
        <f>+G44+G45</f>
        <v>1019264</v>
      </c>
      <c r="H46" s="91"/>
      <c r="K46" s="85"/>
      <c r="L46" s="88">
        <f>SUM(L44:L45)</f>
        <v>2739497</v>
      </c>
      <c r="M46" s="85"/>
    </row>
  </sheetData>
  <mergeCells count="10">
    <mergeCell ref="N1:O1"/>
    <mergeCell ref="A43:B43"/>
    <mergeCell ref="F43:G43"/>
    <mergeCell ref="K43:L43"/>
    <mergeCell ref="B1:C1"/>
    <mergeCell ref="D1:E1"/>
    <mergeCell ref="F1:G1"/>
    <mergeCell ref="H1:I1"/>
    <mergeCell ref="J1:K1"/>
    <mergeCell ref="L1:M1"/>
  </mergeCells>
  <phoneticPr fontId="5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8"/>
  <sheetViews>
    <sheetView topLeftCell="D1" workbookViewId="0">
      <selection activeCell="R38" sqref="R38"/>
    </sheetView>
  </sheetViews>
  <sheetFormatPr baseColWidth="10" defaultRowHeight="12.75" x14ac:dyDescent="0.2"/>
  <cols>
    <col min="1" max="4" width="11.42578125" style="347"/>
    <col min="5" max="5" width="13.28515625" style="347" bestFit="1" customWidth="1"/>
    <col min="6" max="17" width="11.42578125" style="347"/>
    <col min="18" max="18" width="13.28515625" style="347" bestFit="1" customWidth="1"/>
    <col min="19" max="16384" width="11.42578125" style="347"/>
  </cols>
  <sheetData>
    <row r="1" spans="1:18" x14ac:dyDescent="0.2">
      <c r="C1" s="656" t="s">
        <v>104</v>
      </c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440"/>
      <c r="O1" s="440"/>
      <c r="P1" s="440"/>
      <c r="Q1" s="440"/>
    </row>
    <row r="2" spans="1:18" ht="13.5" thickBot="1" x14ac:dyDescent="0.25"/>
    <row r="3" spans="1:18" ht="16.5" thickBot="1" x14ac:dyDescent="0.3">
      <c r="A3" s="439" t="s">
        <v>101</v>
      </c>
      <c r="B3" s="657" t="s">
        <v>1</v>
      </c>
      <c r="C3" s="658"/>
      <c r="D3" s="657">
        <v>48</v>
      </c>
      <c r="E3" s="658"/>
      <c r="F3" s="659" t="s">
        <v>2</v>
      </c>
      <c r="G3" s="660"/>
      <c r="H3" s="657" t="s">
        <v>3</v>
      </c>
      <c r="I3" s="658"/>
      <c r="J3" s="659">
        <v>12</v>
      </c>
      <c r="K3" s="660"/>
      <c r="L3" s="659">
        <v>49</v>
      </c>
      <c r="M3" s="660"/>
      <c r="N3" s="657" t="s">
        <v>4</v>
      </c>
      <c r="O3" s="658"/>
      <c r="P3" s="661" t="s">
        <v>103</v>
      </c>
      <c r="Q3" s="662"/>
      <c r="R3" s="431" t="s">
        <v>5</v>
      </c>
    </row>
    <row r="4" spans="1:18" ht="16.5" thickBot="1" x14ac:dyDescent="0.3">
      <c r="A4" s="439"/>
      <c r="B4" s="435" t="s">
        <v>6</v>
      </c>
      <c r="C4" s="438" t="s">
        <v>7</v>
      </c>
      <c r="D4" s="435" t="s">
        <v>6</v>
      </c>
      <c r="E4" s="438" t="s">
        <v>7</v>
      </c>
      <c r="F4" s="437" t="s">
        <v>6</v>
      </c>
      <c r="G4" s="436" t="s">
        <v>7</v>
      </c>
      <c r="H4" s="435" t="s">
        <v>6</v>
      </c>
      <c r="I4" s="438" t="s">
        <v>7</v>
      </c>
      <c r="J4" s="437" t="s">
        <v>6</v>
      </c>
      <c r="K4" s="436" t="s">
        <v>7</v>
      </c>
      <c r="L4" s="437" t="s">
        <v>6</v>
      </c>
      <c r="M4" s="436" t="s">
        <v>7</v>
      </c>
      <c r="N4" s="435" t="s">
        <v>6</v>
      </c>
      <c r="O4" s="434" t="s">
        <v>7</v>
      </c>
      <c r="P4" s="433" t="s">
        <v>6</v>
      </c>
      <c r="Q4" s="432" t="s">
        <v>7</v>
      </c>
      <c r="R4" s="431"/>
    </row>
    <row r="5" spans="1:18" ht="13.5" thickBot="1" x14ac:dyDescent="0.25">
      <c r="A5" s="412">
        <v>42430</v>
      </c>
      <c r="B5" s="411">
        <f>8368+5770</f>
        <v>14138</v>
      </c>
      <c r="C5" s="430">
        <f>200+5113</f>
        <v>5313</v>
      </c>
      <c r="D5" s="411">
        <f>11562+3164</f>
        <v>14726</v>
      </c>
      <c r="E5" s="429">
        <f>920+10826</f>
        <v>11746</v>
      </c>
      <c r="F5" s="428">
        <v>2880</v>
      </c>
      <c r="G5" s="429">
        <f>100+1548</f>
        <v>1648</v>
      </c>
      <c r="H5" s="428">
        <f>6351+4074</f>
        <v>10425</v>
      </c>
      <c r="I5" s="429">
        <f>1140+2717</f>
        <v>3857</v>
      </c>
      <c r="J5" s="428">
        <v>6479</v>
      </c>
      <c r="K5" s="429">
        <f>498+2914</f>
        <v>3412</v>
      </c>
      <c r="L5" s="428">
        <f>5253+2544</f>
        <v>7797</v>
      </c>
      <c r="M5" s="429">
        <v>4824</v>
      </c>
      <c r="N5" s="428">
        <v>4447</v>
      </c>
      <c r="O5" s="427">
        <f>148+1067</f>
        <v>1215</v>
      </c>
      <c r="P5" s="425"/>
      <c r="Q5" s="426"/>
      <c r="R5" s="362">
        <f t="shared" ref="R5:R35" si="0">SUM(B5:Q5)</f>
        <v>92907</v>
      </c>
    </row>
    <row r="6" spans="1:18" ht="13.5" thickBot="1" x14ac:dyDescent="0.25">
      <c r="A6" s="412">
        <v>42431</v>
      </c>
      <c r="B6" s="411">
        <v>10248</v>
      </c>
      <c r="C6" s="406">
        <f>1001+11387</f>
        <v>12388</v>
      </c>
      <c r="D6" s="407">
        <f>9745+918.6</f>
        <v>10663.6</v>
      </c>
      <c r="E6" s="426">
        <f>4373+6155</f>
        <v>10528</v>
      </c>
      <c r="F6" s="425">
        <v>6031</v>
      </c>
      <c r="G6" s="426">
        <f>50+2831</f>
        <v>2881</v>
      </c>
      <c r="H6" s="425">
        <f>9532+720</f>
        <v>10252</v>
      </c>
      <c r="I6" s="426">
        <f>3586+6345</f>
        <v>9931</v>
      </c>
      <c r="J6" s="425">
        <f>12305+2576</f>
        <v>14881</v>
      </c>
      <c r="K6" s="426">
        <f>1955+10060</f>
        <v>12015</v>
      </c>
      <c r="L6" s="425">
        <f>10811+4973</f>
        <v>15784</v>
      </c>
      <c r="M6" s="426">
        <f>800+6774</f>
        <v>7574</v>
      </c>
      <c r="N6" s="425">
        <v>3950</v>
      </c>
      <c r="O6" s="408">
        <f>158+1193</f>
        <v>1351</v>
      </c>
      <c r="P6" s="407">
        <v>2873</v>
      </c>
      <c r="Q6" s="406">
        <v>5885</v>
      </c>
      <c r="R6" s="362">
        <f t="shared" si="0"/>
        <v>137235.6</v>
      </c>
    </row>
    <row r="7" spans="1:18" ht="13.5" thickBot="1" x14ac:dyDescent="0.25">
      <c r="A7" s="412">
        <v>42432</v>
      </c>
      <c r="B7" s="411">
        <f>18155+1208</f>
        <v>19363</v>
      </c>
      <c r="C7" s="406">
        <f>2789+14083</f>
        <v>16872</v>
      </c>
      <c r="D7" s="411">
        <f>20520+1978</f>
        <v>22498</v>
      </c>
      <c r="E7" s="406">
        <f>5296+17479</f>
        <v>22775</v>
      </c>
      <c r="F7" s="425">
        <v>5479</v>
      </c>
      <c r="G7" s="426">
        <f>1099+4122</f>
        <v>5221</v>
      </c>
      <c r="H7" s="425">
        <f>6105+2211+1344</f>
        <v>9660</v>
      </c>
      <c r="I7" s="426">
        <f>1590+10577</f>
        <v>12167</v>
      </c>
      <c r="J7" s="425">
        <v>9891</v>
      </c>
      <c r="K7" s="426">
        <f>9022+1400</f>
        <v>10422</v>
      </c>
      <c r="L7" s="425">
        <f>9967+1898</f>
        <v>11865</v>
      </c>
      <c r="M7" s="426">
        <f>2080+6418</f>
        <v>8498</v>
      </c>
      <c r="N7" s="425">
        <v>6845</v>
      </c>
      <c r="O7" s="408">
        <f>900+878</f>
        <v>1778</v>
      </c>
      <c r="P7" s="407">
        <v>4673</v>
      </c>
      <c r="Q7" s="406">
        <v>2383</v>
      </c>
      <c r="R7" s="362">
        <f t="shared" si="0"/>
        <v>170390</v>
      </c>
    </row>
    <row r="8" spans="1:18" ht="13.5" thickBot="1" x14ac:dyDescent="0.25">
      <c r="A8" s="412">
        <v>42433</v>
      </c>
      <c r="B8" s="424">
        <f>7020+249</f>
        <v>7269</v>
      </c>
      <c r="C8" s="409">
        <f>3610+4959</f>
        <v>8569</v>
      </c>
      <c r="D8" s="407">
        <f>19018+987</f>
        <v>20005</v>
      </c>
      <c r="E8" s="406">
        <f>6725+23449</f>
        <v>30174</v>
      </c>
      <c r="F8" s="407">
        <v>10460</v>
      </c>
      <c r="G8" s="406">
        <f>312+3648</f>
        <v>3960</v>
      </c>
      <c r="H8" s="410">
        <v>10659</v>
      </c>
      <c r="I8" s="409">
        <f>503+19400+2480</f>
        <v>22383</v>
      </c>
      <c r="J8" s="407">
        <f>6628+588</f>
        <v>7216</v>
      </c>
      <c r="K8" s="406">
        <f>2761+10016</f>
        <v>12777</v>
      </c>
      <c r="L8" s="407">
        <f>26873+2634</f>
        <v>29507</v>
      </c>
      <c r="M8" s="406">
        <f>2988+5913</f>
        <v>8901</v>
      </c>
      <c r="N8" s="407">
        <v>4640</v>
      </c>
      <c r="O8" s="408">
        <f>1562+3738</f>
        <v>5300</v>
      </c>
      <c r="P8" s="407">
        <v>3142</v>
      </c>
      <c r="Q8" s="406">
        <v>4485</v>
      </c>
      <c r="R8" s="362">
        <f t="shared" si="0"/>
        <v>189447</v>
      </c>
    </row>
    <row r="9" spans="1:18" ht="13.5" thickBot="1" x14ac:dyDescent="0.25">
      <c r="A9" s="412">
        <v>42434</v>
      </c>
      <c r="B9" s="411">
        <v>27925</v>
      </c>
      <c r="C9" s="406">
        <f>3225+20910</f>
        <v>24135</v>
      </c>
      <c r="D9" s="407">
        <f>33083+2146</f>
        <v>35229</v>
      </c>
      <c r="E9" s="406">
        <f>3954+19864</f>
        <v>23818</v>
      </c>
      <c r="F9" s="407">
        <v>8869</v>
      </c>
      <c r="G9" s="406">
        <f>2358+8398</f>
        <v>10756</v>
      </c>
      <c r="H9" s="407">
        <f>18548+2399</f>
        <v>20947</v>
      </c>
      <c r="I9" s="406">
        <f>5519+20183</f>
        <v>25702</v>
      </c>
      <c r="J9" s="407">
        <v>8057</v>
      </c>
      <c r="K9" s="406">
        <f>1333+17453</f>
        <v>18786</v>
      </c>
      <c r="L9" s="407">
        <f>21405+504</f>
        <v>21909</v>
      </c>
      <c r="M9" s="406">
        <f>5339+20011</f>
        <v>25350</v>
      </c>
      <c r="N9" s="407">
        <v>9480</v>
      </c>
      <c r="O9" s="408">
        <f>568+9084</f>
        <v>9652</v>
      </c>
      <c r="P9" s="407">
        <f>5223+3516</f>
        <v>8739</v>
      </c>
      <c r="Q9" s="406">
        <f>11605-3516</f>
        <v>8089</v>
      </c>
      <c r="R9" s="362">
        <f t="shared" si="0"/>
        <v>287443</v>
      </c>
    </row>
    <row r="10" spans="1:18" ht="13.5" thickBot="1" x14ac:dyDescent="0.25">
      <c r="A10" s="419">
        <v>42435</v>
      </c>
      <c r="B10" s="418"/>
      <c r="C10" s="415"/>
      <c r="D10" s="416"/>
      <c r="E10" s="415"/>
      <c r="F10" s="416"/>
      <c r="G10" s="415"/>
      <c r="H10" s="416"/>
      <c r="I10" s="415"/>
      <c r="J10" s="416"/>
      <c r="K10" s="415"/>
      <c r="L10" s="416"/>
      <c r="M10" s="415"/>
      <c r="N10" s="416"/>
      <c r="O10" s="417"/>
      <c r="P10" s="416"/>
      <c r="Q10" s="415"/>
      <c r="R10" s="362">
        <f t="shared" si="0"/>
        <v>0</v>
      </c>
    </row>
    <row r="11" spans="1:18" ht="13.5" thickBot="1" x14ac:dyDescent="0.25">
      <c r="A11" s="412">
        <v>42436</v>
      </c>
      <c r="B11" s="411">
        <v>17030</v>
      </c>
      <c r="C11" s="406">
        <f>3784+12842</f>
        <v>16626</v>
      </c>
      <c r="D11" s="407">
        <f>18020+1512</f>
        <v>19532</v>
      </c>
      <c r="E11" s="406">
        <f>3063+13349</f>
        <v>16412</v>
      </c>
      <c r="F11" s="407">
        <v>4511</v>
      </c>
      <c r="G11" s="406">
        <f>164+5638</f>
        <v>5802</v>
      </c>
      <c r="H11" s="407">
        <f>4042+75</f>
        <v>4117</v>
      </c>
      <c r="I11" s="406">
        <f>1913+13849</f>
        <v>15762</v>
      </c>
      <c r="J11" s="407">
        <f>4068+520</f>
        <v>4588</v>
      </c>
      <c r="K11" s="406">
        <f>3718+1760</f>
        <v>5478</v>
      </c>
      <c r="L11" s="407">
        <f>15324+336</f>
        <v>15660</v>
      </c>
      <c r="M11" s="406">
        <f>1691+10241</f>
        <v>11932</v>
      </c>
      <c r="N11" s="407">
        <v>5634</v>
      </c>
      <c r="O11" s="408">
        <f>373+7057</f>
        <v>7430</v>
      </c>
      <c r="P11" s="407">
        <v>1649</v>
      </c>
      <c r="Q11" s="406">
        <v>5378</v>
      </c>
      <c r="R11" s="362">
        <f t="shared" si="0"/>
        <v>157541</v>
      </c>
    </row>
    <row r="12" spans="1:18" ht="13.5" thickBot="1" x14ac:dyDescent="0.25">
      <c r="A12" s="412">
        <v>42437</v>
      </c>
      <c r="B12" s="411">
        <v>18933</v>
      </c>
      <c r="C12" s="406">
        <f>1132+9431</f>
        <v>10563</v>
      </c>
      <c r="D12" s="407">
        <v>17796</v>
      </c>
      <c r="E12" s="406">
        <f>5431+15738</f>
        <v>21169</v>
      </c>
      <c r="F12" s="407">
        <v>12631</v>
      </c>
      <c r="G12" s="406">
        <v>4230</v>
      </c>
      <c r="H12" s="407">
        <f>7523+2225+812</f>
        <v>10560</v>
      </c>
      <c r="I12" s="406">
        <f>5164+10439</f>
        <v>15603</v>
      </c>
      <c r="J12" s="407">
        <v>6328</v>
      </c>
      <c r="K12" s="406">
        <f>1754+12958</f>
        <v>14712</v>
      </c>
      <c r="L12" s="407">
        <v>10205</v>
      </c>
      <c r="M12" s="406">
        <f>1081+20691</f>
        <v>21772</v>
      </c>
      <c r="N12" s="407">
        <v>6897</v>
      </c>
      <c r="O12" s="408">
        <f>115+5883</f>
        <v>5998</v>
      </c>
      <c r="P12" s="407"/>
      <c r="Q12" s="406"/>
      <c r="R12" s="362">
        <f t="shared" si="0"/>
        <v>177397</v>
      </c>
    </row>
    <row r="13" spans="1:18" ht="13.5" thickBot="1" x14ac:dyDescent="0.25">
      <c r="A13" s="412">
        <v>42438</v>
      </c>
      <c r="B13" s="411">
        <f>10845+332</f>
        <v>11177</v>
      </c>
      <c r="C13" s="406">
        <f>1292+9191</f>
        <v>10483</v>
      </c>
      <c r="D13" s="407">
        <v>20360</v>
      </c>
      <c r="E13" s="406">
        <f>2424+9763</f>
        <v>12187</v>
      </c>
      <c r="F13" s="407">
        <v>1235</v>
      </c>
      <c r="G13" s="406">
        <f>1409+3529</f>
        <v>4938</v>
      </c>
      <c r="H13" s="407">
        <f>8335+787</f>
        <v>9122</v>
      </c>
      <c r="I13" s="406">
        <f>255+11275</f>
        <v>11530</v>
      </c>
      <c r="J13" s="407">
        <v>4009</v>
      </c>
      <c r="K13" s="406">
        <f>2911+11571</f>
        <v>14482</v>
      </c>
      <c r="L13" s="407">
        <v>13627</v>
      </c>
      <c r="M13" s="406">
        <f>2344+7912</f>
        <v>10256</v>
      </c>
      <c r="N13" s="407">
        <v>2874</v>
      </c>
      <c r="O13" s="408">
        <f>1100+7653</f>
        <v>8753</v>
      </c>
      <c r="P13" s="407">
        <v>2117</v>
      </c>
      <c r="Q13" s="406">
        <v>4918</v>
      </c>
      <c r="R13" s="362">
        <f t="shared" si="0"/>
        <v>142068</v>
      </c>
    </row>
    <row r="14" spans="1:18" ht="13.5" thickBot="1" x14ac:dyDescent="0.25">
      <c r="A14" s="412">
        <v>42439</v>
      </c>
      <c r="B14" s="411">
        <v>8791</v>
      </c>
      <c r="C14" s="406">
        <f>1723+11989</f>
        <v>13712</v>
      </c>
      <c r="D14" s="407">
        <f>24955+1652</f>
        <v>26607</v>
      </c>
      <c r="E14" s="406">
        <f>2445+3308</f>
        <v>5753</v>
      </c>
      <c r="F14" s="407">
        <v>9092</v>
      </c>
      <c r="G14" s="406">
        <f>916+379</f>
        <v>1295</v>
      </c>
      <c r="H14" s="407">
        <v>11698</v>
      </c>
      <c r="I14" s="406">
        <f>400+9548</f>
        <v>9948</v>
      </c>
      <c r="J14" s="407">
        <v>19580</v>
      </c>
      <c r="K14" s="406">
        <f>500+1126</f>
        <v>1626</v>
      </c>
      <c r="L14" s="407">
        <v>8467</v>
      </c>
      <c r="M14" s="406">
        <f>1139+10035</f>
        <v>11174</v>
      </c>
      <c r="N14" s="407">
        <v>9506</v>
      </c>
      <c r="O14" s="408">
        <f>361+5772</f>
        <v>6133</v>
      </c>
      <c r="P14" s="407">
        <v>3985</v>
      </c>
      <c r="Q14" s="406">
        <v>1650</v>
      </c>
      <c r="R14" s="362">
        <f t="shared" si="0"/>
        <v>149017</v>
      </c>
    </row>
    <row r="15" spans="1:18" ht="13.5" thickBot="1" x14ac:dyDescent="0.25">
      <c r="A15" s="412">
        <v>42440</v>
      </c>
      <c r="B15" s="411">
        <v>20546</v>
      </c>
      <c r="C15" s="406">
        <f>1933+12671</f>
        <v>14604</v>
      </c>
      <c r="D15" s="407">
        <f>28814+4294</f>
        <v>33108</v>
      </c>
      <c r="E15" s="406">
        <f>4471+12002</f>
        <v>16473</v>
      </c>
      <c r="F15" s="407">
        <v>7814</v>
      </c>
      <c r="G15" s="406">
        <f>50+3322</f>
        <v>3372</v>
      </c>
      <c r="H15" s="407">
        <f>16156+148+460</f>
        <v>16764</v>
      </c>
      <c r="I15" s="406">
        <f>2459+11681</f>
        <v>14140</v>
      </c>
      <c r="J15" s="407">
        <f>10944+2111</f>
        <v>13055</v>
      </c>
      <c r="K15" s="406">
        <f>749+5583</f>
        <v>6332</v>
      </c>
      <c r="L15" s="407">
        <f>18789+2070</f>
        <v>20859</v>
      </c>
      <c r="M15" s="406">
        <f>1175+4085</f>
        <v>5260</v>
      </c>
      <c r="N15" s="407">
        <v>12365</v>
      </c>
      <c r="O15" s="408">
        <f>1139+4469</f>
        <v>5608</v>
      </c>
      <c r="P15" s="407">
        <v>7437</v>
      </c>
      <c r="Q15" s="406">
        <v>6057</v>
      </c>
      <c r="R15" s="362">
        <f t="shared" si="0"/>
        <v>203794</v>
      </c>
    </row>
    <row r="16" spans="1:18" ht="13.5" thickBot="1" x14ac:dyDescent="0.25">
      <c r="A16" s="412">
        <v>42441</v>
      </c>
      <c r="B16" s="411">
        <f>25518+281</f>
        <v>25799</v>
      </c>
      <c r="C16" s="406">
        <f>1865+19870</f>
        <v>21735</v>
      </c>
      <c r="D16" s="407">
        <v>51512</v>
      </c>
      <c r="E16" s="406">
        <f>4610+18094</f>
        <v>22704</v>
      </c>
      <c r="F16" s="407">
        <v>30524</v>
      </c>
      <c r="G16" s="406">
        <f>645+8042</f>
        <v>8687</v>
      </c>
      <c r="H16" s="407">
        <f>26308+1900+1082</f>
        <v>29290</v>
      </c>
      <c r="I16" s="406">
        <f>1418+7309-1082</f>
        <v>7645</v>
      </c>
      <c r="J16" s="407">
        <f>32258+284</f>
        <v>32542</v>
      </c>
      <c r="K16" s="406">
        <v>8176</v>
      </c>
      <c r="L16" s="407">
        <f>41933+978</f>
        <v>42911</v>
      </c>
      <c r="M16" s="406">
        <f>8501+9084</f>
        <v>17585</v>
      </c>
      <c r="N16" s="407">
        <v>29204</v>
      </c>
      <c r="O16" s="408">
        <f>1109+9089</f>
        <v>10198</v>
      </c>
      <c r="P16" s="407">
        <v>13617</v>
      </c>
      <c r="Q16" s="406">
        <v>6958</v>
      </c>
      <c r="R16" s="362">
        <f t="shared" si="0"/>
        <v>359087</v>
      </c>
    </row>
    <row r="17" spans="1:18" s="413" customFormat="1" ht="13.5" thickBot="1" x14ac:dyDescent="0.25">
      <c r="A17" s="419">
        <v>42442</v>
      </c>
      <c r="B17" s="418"/>
      <c r="C17" s="415"/>
      <c r="D17" s="416"/>
      <c r="E17" s="415"/>
      <c r="F17" s="416"/>
      <c r="G17" s="415"/>
      <c r="H17" s="416"/>
      <c r="I17" s="415"/>
      <c r="J17" s="416"/>
      <c r="K17" s="415"/>
      <c r="L17" s="416"/>
      <c r="M17" s="415"/>
      <c r="N17" s="423"/>
      <c r="O17" s="417"/>
      <c r="P17" s="416"/>
      <c r="Q17" s="415"/>
      <c r="R17" s="414">
        <f t="shared" si="0"/>
        <v>0</v>
      </c>
    </row>
    <row r="18" spans="1:18" ht="13.5" thickBot="1" x14ac:dyDescent="0.25">
      <c r="A18" s="412">
        <v>42443</v>
      </c>
      <c r="B18" s="411">
        <v>13892</v>
      </c>
      <c r="C18" s="406">
        <f>684+7408</f>
        <v>8092</v>
      </c>
      <c r="D18" s="407">
        <f>8687+645</f>
        <v>9332</v>
      </c>
      <c r="E18" s="406">
        <f>2615+5427</f>
        <v>8042</v>
      </c>
      <c r="F18" s="407">
        <f>7366+1579</f>
        <v>8945</v>
      </c>
      <c r="G18" s="406">
        <v>3520</v>
      </c>
      <c r="H18" s="407">
        <v>12765</v>
      </c>
      <c r="I18" s="406">
        <f>2088+4719</f>
        <v>6807</v>
      </c>
      <c r="J18" s="407">
        <v>5444</v>
      </c>
      <c r="K18" s="406">
        <v>890</v>
      </c>
      <c r="L18" s="407">
        <v>10622</v>
      </c>
      <c r="M18" s="406">
        <v>1846</v>
      </c>
      <c r="N18" s="407">
        <v>14222</v>
      </c>
      <c r="O18" s="408">
        <f>932+419</f>
        <v>1351</v>
      </c>
      <c r="P18" s="407">
        <v>10325</v>
      </c>
      <c r="Q18" s="406">
        <v>3648</v>
      </c>
      <c r="R18" s="362">
        <f t="shared" si="0"/>
        <v>119743</v>
      </c>
    </row>
    <row r="19" spans="1:18" ht="13.5" thickBot="1" x14ac:dyDescent="0.25">
      <c r="A19" s="412">
        <v>42444</v>
      </c>
      <c r="B19" s="411">
        <v>2147</v>
      </c>
      <c r="C19" s="406">
        <f>1927+3816</f>
        <v>5743</v>
      </c>
      <c r="D19" s="407">
        <v>19820</v>
      </c>
      <c r="E19" s="406">
        <v>16722</v>
      </c>
      <c r="F19" s="407">
        <f>2187+1400</f>
        <v>3587</v>
      </c>
      <c r="G19" s="406">
        <f>1000+3958</f>
        <v>4958</v>
      </c>
      <c r="H19" s="407">
        <v>13075</v>
      </c>
      <c r="I19" s="406">
        <f>1639+4220</f>
        <v>5859</v>
      </c>
      <c r="J19" s="407">
        <v>4553</v>
      </c>
      <c r="K19" s="406">
        <v>1657</v>
      </c>
      <c r="L19" s="407">
        <v>8075</v>
      </c>
      <c r="M19" s="406">
        <v>7964</v>
      </c>
      <c r="N19" s="407">
        <v>9721</v>
      </c>
      <c r="O19" s="408">
        <f>1620+1732</f>
        <v>3352</v>
      </c>
      <c r="P19" s="407">
        <v>2764</v>
      </c>
      <c r="Q19" s="406">
        <v>6823</v>
      </c>
      <c r="R19" s="362">
        <f t="shared" si="0"/>
        <v>116820</v>
      </c>
    </row>
    <row r="20" spans="1:18" ht="13.5" thickBot="1" x14ac:dyDescent="0.25">
      <c r="A20" s="412">
        <v>42445</v>
      </c>
      <c r="B20" s="411">
        <v>10686</v>
      </c>
      <c r="C20" s="406">
        <f>1157+9346</f>
        <v>10503</v>
      </c>
      <c r="D20" s="407">
        <f>10042.75+1657.6</f>
        <v>11700.35</v>
      </c>
      <c r="E20" s="406">
        <f>2046.25+6957</f>
        <v>9003.25</v>
      </c>
      <c r="F20" s="407">
        <f>5065+1301</f>
        <v>6366</v>
      </c>
      <c r="G20" s="406">
        <f>1485+2144</f>
        <v>3629</v>
      </c>
      <c r="H20" s="407">
        <f>11688+416</f>
        <v>12104</v>
      </c>
      <c r="I20" s="406">
        <f>450+12438</f>
        <v>12888</v>
      </c>
      <c r="J20" s="407">
        <v>8953</v>
      </c>
      <c r="K20" s="406">
        <f>3210+50</f>
        <v>3260</v>
      </c>
      <c r="L20" s="407">
        <f>15153+252</f>
        <v>15405</v>
      </c>
      <c r="M20" s="406">
        <f>1099+4246</f>
        <v>5345</v>
      </c>
      <c r="N20" s="407">
        <v>7392</v>
      </c>
      <c r="O20" s="408">
        <f>3795+1428</f>
        <v>5223</v>
      </c>
      <c r="P20" s="407">
        <v>10736</v>
      </c>
      <c r="Q20" s="406">
        <v>5683</v>
      </c>
      <c r="R20" s="362">
        <f t="shared" si="0"/>
        <v>138876.6</v>
      </c>
    </row>
    <row r="21" spans="1:18" ht="13.5" thickBot="1" x14ac:dyDescent="0.25">
      <c r="A21" s="412">
        <v>42446</v>
      </c>
      <c r="B21" s="411">
        <v>29646</v>
      </c>
      <c r="C21" s="406">
        <f>1881+9787</f>
        <v>11668</v>
      </c>
      <c r="D21" s="407">
        <f>17038+492+179</f>
        <v>17709</v>
      </c>
      <c r="E21" s="406">
        <f>3541+7164</f>
        <v>10705</v>
      </c>
      <c r="F21" s="407">
        <v>3165</v>
      </c>
      <c r="G21" s="406">
        <v>720</v>
      </c>
      <c r="H21" s="407">
        <f>11256+588</f>
        <v>11844</v>
      </c>
      <c r="I21" s="406">
        <f>6998.5+2539</f>
        <v>9537.5</v>
      </c>
      <c r="J21" s="407">
        <f>10475</f>
        <v>10475</v>
      </c>
      <c r="K21" s="406">
        <f>988+3239</f>
        <v>4227</v>
      </c>
      <c r="L21" s="407">
        <f>12825+42</f>
        <v>12867</v>
      </c>
      <c r="M21" s="406">
        <f>2324+8723</f>
        <v>11047</v>
      </c>
      <c r="N21" s="407">
        <v>15782</v>
      </c>
      <c r="O21" s="408">
        <f>669+329</f>
        <v>998</v>
      </c>
      <c r="P21" s="407">
        <v>4964</v>
      </c>
      <c r="Q21" s="406">
        <v>4991</v>
      </c>
      <c r="R21" s="362">
        <f t="shared" si="0"/>
        <v>160345.5</v>
      </c>
    </row>
    <row r="22" spans="1:18" ht="13.5" thickBot="1" x14ac:dyDescent="0.25">
      <c r="A22" s="412">
        <v>42447</v>
      </c>
      <c r="B22" s="411">
        <v>13048</v>
      </c>
      <c r="C22" s="406">
        <f>2472+11139</f>
        <v>13611</v>
      </c>
      <c r="D22" s="411">
        <f>17468+1092+5143</f>
        <v>23703</v>
      </c>
      <c r="E22" s="406">
        <f>5430+10031</f>
        <v>15461</v>
      </c>
      <c r="F22" s="407">
        <v>5615</v>
      </c>
      <c r="G22" s="406">
        <v>1676</v>
      </c>
      <c r="H22" s="407">
        <f>11209+504</f>
        <v>11713</v>
      </c>
      <c r="I22" s="406">
        <f>200+7264</f>
        <v>7464</v>
      </c>
      <c r="J22" s="407">
        <v>17163</v>
      </c>
      <c r="K22" s="406">
        <f>1448+5394</f>
        <v>6842</v>
      </c>
      <c r="L22" s="407">
        <f>30450+1760</f>
        <v>32210</v>
      </c>
      <c r="M22" s="406">
        <v>8470</v>
      </c>
      <c r="N22" s="407">
        <v>17388</v>
      </c>
      <c r="O22" s="408">
        <f>1895+3876</f>
        <v>5771</v>
      </c>
      <c r="P22" s="407">
        <v>11973</v>
      </c>
      <c r="Q22" s="406">
        <v>2890</v>
      </c>
      <c r="R22" s="362">
        <f t="shared" si="0"/>
        <v>194998</v>
      </c>
    </row>
    <row r="23" spans="1:18" ht="13.5" thickBot="1" x14ac:dyDescent="0.25">
      <c r="A23" s="412">
        <v>42448</v>
      </c>
      <c r="B23" s="411">
        <v>30535</v>
      </c>
      <c r="C23" s="406">
        <f>1147+16045</f>
        <v>17192</v>
      </c>
      <c r="D23" s="407">
        <f>48366+280</f>
        <v>48646</v>
      </c>
      <c r="E23" s="406">
        <f>10030+28434</f>
        <v>38464</v>
      </c>
      <c r="F23" s="407">
        <v>25626</v>
      </c>
      <c r="G23" s="406">
        <f>2264+9235</f>
        <v>11499</v>
      </c>
      <c r="H23" s="407">
        <v>16691</v>
      </c>
      <c r="I23" s="406">
        <f>5092+16353</f>
        <v>21445</v>
      </c>
      <c r="J23" s="407">
        <f>14861+399</f>
        <v>15260</v>
      </c>
      <c r="K23" s="406">
        <f>1070+14172</f>
        <v>15242</v>
      </c>
      <c r="L23" s="407">
        <f>33836+388</f>
        <v>34224</v>
      </c>
      <c r="M23" s="406">
        <f>2072+19052</f>
        <v>21124</v>
      </c>
      <c r="N23" s="422">
        <v>30684</v>
      </c>
      <c r="O23" s="421">
        <f>1333+8519</f>
        <v>9852</v>
      </c>
      <c r="P23" s="407">
        <v>16987</v>
      </c>
      <c r="Q23" s="406">
        <v>6034</v>
      </c>
      <c r="R23" s="362">
        <f t="shared" si="0"/>
        <v>359505</v>
      </c>
    </row>
    <row r="24" spans="1:18" s="413" customFormat="1" ht="13.5" thickBot="1" x14ac:dyDescent="0.25">
      <c r="A24" s="419">
        <v>42449</v>
      </c>
      <c r="B24" s="418"/>
      <c r="C24" s="415"/>
      <c r="D24" s="418"/>
      <c r="E24" s="415"/>
      <c r="F24" s="416"/>
      <c r="G24" s="415"/>
      <c r="H24" s="416"/>
      <c r="I24" s="415"/>
      <c r="J24" s="416"/>
      <c r="K24" s="415"/>
      <c r="L24" s="416"/>
      <c r="M24" s="415"/>
      <c r="N24" s="416"/>
      <c r="O24" s="420"/>
      <c r="P24" s="416"/>
      <c r="Q24" s="415"/>
      <c r="R24" s="414">
        <f t="shared" si="0"/>
        <v>0</v>
      </c>
    </row>
    <row r="25" spans="1:18" ht="13.5" thickBot="1" x14ac:dyDescent="0.25">
      <c r="A25" s="412">
        <v>42450</v>
      </c>
      <c r="B25" s="411">
        <v>9681</v>
      </c>
      <c r="C25" s="406">
        <f>2061+8301</f>
        <v>10362</v>
      </c>
      <c r="D25" s="407">
        <v>4454</v>
      </c>
      <c r="E25" s="406">
        <f>7131+9395</f>
        <v>16526</v>
      </c>
      <c r="F25" s="407">
        <f>2942+816</f>
        <v>3758</v>
      </c>
      <c r="G25" s="406">
        <v>2558</v>
      </c>
      <c r="H25" s="407">
        <f>10683+427</f>
        <v>11110</v>
      </c>
      <c r="I25" s="406">
        <f>400+10787</f>
        <v>11187</v>
      </c>
      <c r="J25" s="407">
        <v>15072</v>
      </c>
      <c r="K25" s="406">
        <f>1100+7059</f>
        <v>8159</v>
      </c>
      <c r="L25" s="407">
        <f>5509+1602</f>
        <v>7111</v>
      </c>
      <c r="M25" s="406">
        <f>1110+4172</f>
        <v>5282</v>
      </c>
      <c r="N25" s="407">
        <v>13193</v>
      </c>
      <c r="O25" s="408">
        <f>988+798</f>
        <v>1786</v>
      </c>
      <c r="P25" s="407">
        <v>979</v>
      </c>
      <c r="Q25" s="406">
        <v>6125</v>
      </c>
      <c r="R25" s="362">
        <f t="shared" si="0"/>
        <v>127343</v>
      </c>
    </row>
    <row r="26" spans="1:18" ht="13.5" thickBot="1" x14ac:dyDescent="0.25">
      <c r="A26" s="412">
        <v>42451</v>
      </c>
      <c r="B26" s="411">
        <f>7774+1689</f>
        <v>9463</v>
      </c>
      <c r="C26" s="406">
        <f>1200+10906</f>
        <v>12106</v>
      </c>
      <c r="D26" s="407">
        <f>22248+2020</f>
        <v>24268</v>
      </c>
      <c r="E26" s="406">
        <f>2739+14987</f>
        <v>17726</v>
      </c>
      <c r="F26" s="407">
        <f>3375+4226</f>
        <v>7601</v>
      </c>
      <c r="G26" s="406">
        <v>1563</v>
      </c>
      <c r="H26" s="407">
        <f>6177+1828</f>
        <v>8005</v>
      </c>
      <c r="I26" s="406">
        <f>844+14896</f>
        <v>15740</v>
      </c>
      <c r="J26" s="407">
        <f>10481+50</f>
        <v>10531</v>
      </c>
      <c r="K26" s="406">
        <f>2299+10170</f>
        <v>12469</v>
      </c>
      <c r="L26" s="407">
        <v>12262</v>
      </c>
      <c r="M26" s="406">
        <f>878+12430</f>
        <v>13308</v>
      </c>
      <c r="N26" s="407">
        <v>8653</v>
      </c>
      <c r="O26" s="408">
        <f>2110+1147</f>
        <v>3257</v>
      </c>
      <c r="P26" s="407">
        <v>8514</v>
      </c>
      <c r="Q26" s="406">
        <v>5217</v>
      </c>
      <c r="R26" s="362">
        <f t="shared" si="0"/>
        <v>170683</v>
      </c>
    </row>
    <row r="27" spans="1:18" ht="13.5" thickBot="1" x14ac:dyDescent="0.25">
      <c r="A27" s="412">
        <v>42452</v>
      </c>
      <c r="B27" s="411">
        <v>13728</v>
      </c>
      <c r="C27" s="406">
        <f>628+11655</f>
        <v>12283</v>
      </c>
      <c r="D27" s="407">
        <f>15413+502+1039</f>
        <v>16954</v>
      </c>
      <c r="E27" s="406">
        <f>2495+20760</f>
        <v>23255</v>
      </c>
      <c r="F27" s="407">
        <v>14011</v>
      </c>
      <c r="G27" s="406">
        <v>7570</v>
      </c>
      <c r="H27" s="407">
        <f>13323+588+559</f>
        <v>14470</v>
      </c>
      <c r="I27" s="406">
        <f>1420+15466</f>
        <v>16886</v>
      </c>
      <c r="J27" s="407">
        <v>8704</v>
      </c>
      <c r="K27" s="406">
        <f>2470+6112</f>
        <v>8582</v>
      </c>
      <c r="L27" s="407">
        <f>9984+962</f>
        <v>10946</v>
      </c>
      <c r="M27" s="406">
        <f>1327+11125</f>
        <v>12452</v>
      </c>
      <c r="N27" s="407">
        <v>16585</v>
      </c>
      <c r="O27" s="408">
        <f>1780+1766</f>
        <v>3546</v>
      </c>
      <c r="P27" s="407">
        <v>2798</v>
      </c>
      <c r="Q27" s="406">
        <v>7689</v>
      </c>
      <c r="R27" s="362">
        <f t="shared" si="0"/>
        <v>190459</v>
      </c>
    </row>
    <row r="28" spans="1:18" ht="13.5" thickBot="1" x14ac:dyDescent="0.25">
      <c r="A28" s="412">
        <v>42453</v>
      </c>
      <c r="B28" s="411">
        <v>17253</v>
      </c>
      <c r="C28" s="406">
        <f>3571+9496</f>
        <v>13067</v>
      </c>
      <c r="D28" s="407">
        <f>14139+192</f>
        <v>14331</v>
      </c>
      <c r="E28" s="406">
        <f>9444+12734</f>
        <v>22178</v>
      </c>
      <c r="F28" s="407">
        <v>25714</v>
      </c>
      <c r="G28" s="406">
        <v>7766</v>
      </c>
      <c r="H28" s="407">
        <v>12732</v>
      </c>
      <c r="I28" s="406">
        <f>4544+640</f>
        <v>5184</v>
      </c>
      <c r="J28" s="407">
        <v>14235</v>
      </c>
      <c r="K28" s="406">
        <f>772+8467</f>
        <v>9239</v>
      </c>
      <c r="L28" s="407">
        <v>33914</v>
      </c>
      <c r="M28" s="406">
        <f>1339+10150</f>
        <v>11489</v>
      </c>
      <c r="N28" s="407">
        <v>21792</v>
      </c>
      <c r="O28" s="408">
        <f>5283+1029</f>
        <v>6312</v>
      </c>
      <c r="P28" s="407">
        <v>4974</v>
      </c>
      <c r="Q28" s="406">
        <v>7150</v>
      </c>
      <c r="R28" s="362">
        <f t="shared" si="0"/>
        <v>227330</v>
      </c>
    </row>
    <row r="29" spans="1:18" s="413" customFormat="1" ht="13.5" thickBot="1" x14ac:dyDescent="0.25">
      <c r="A29" s="419">
        <v>42454</v>
      </c>
      <c r="B29" s="418"/>
      <c r="C29" s="415"/>
      <c r="D29" s="416"/>
      <c r="E29" s="415"/>
      <c r="F29" s="416"/>
      <c r="G29" s="415"/>
      <c r="H29" s="416"/>
      <c r="I29" s="415"/>
      <c r="J29" s="416"/>
      <c r="K29" s="415"/>
      <c r="L29" s="416"/>
      <c r="M29" s="415"/>
      <c r="N29" s="416"/>
      <c r="O29" s="417"/>
      <c r="P29" s="416"/>
      <c r="Q29" s="415"/>
      <c r="R29" s="414">
        <f t="shared" si="0"/>
        <v>0</v>
      </c>
    </row>
    <row r="30" spans="1:18" ht="13.5" thickBot="1" x14ac:dyDescent="0.25">
      <c r="A30" s="412">
        <v>42455</v>
      </c>
      <c r="B30" s="411">
        <f>28313-226</f>
        <v>28087</v>
      </c>
      <c r="C30" s="406">
        <f>3553+11268</f>
        <v>14821</v>
      </c>
      <c r="D30" s="407">
        <f>52509+559</f>
        <v>53068</v>
      </c>
      <c r="E30" s="406">
        <f>870+31551</f>
        <v>32421</v>
      </c>
      <c r="F30" s="407">
        <f>17091+7174</f>
        <v>24265</v>
      </c>
      <c r="G30" s="406">
        <v>8510</v>
      </c>
      <c r="H30" s="407">
        <f>18620+171+768</f>
        <v>19559</v>
      </c>
      <c r="I30" s="406">
        <f>1062+19832</f>
        <v>20894</v>
      </c>
      <c r="J30" s="407">
        <v>22239</v>
      </c>
      <c r="K30" s="406">
        <f>830+7104</f>
        <v>7934</v>
      </c>
      <c r="L30" s="407">
        <f>25669+2356</f>
        <v>28025</v>
      </c>
      <c r="M30" s="406">
        <f>1877+20645</f>
        <v>22522</v>
      </c>
      <c r="N30" s="407">
        <v>28364</v>
      </c>
      <c r="O30" s="408">
        <f>3966+1076</f>
        <v>5042</v>
      </c>
      <c r="P30" s="407">
        <v>8277</v>
      </c>
      <c r="Q30" s="406">
        <v>4833</v>
      </c>
      <c r="R30" s="362">
        <f t="shared" si="0"/>
        <v>328861</v>
      </c>
    </row>
    <row r="31" spans="1:18" s="413" customFormat="1" ht="13.5" thickBot="1" x14ac:dyDescent="0.25">
      <c r="A31" s="419">
        <v>42456</v>
      </c>
      <c r="B31" s="418"/>
      <c r="C31" s="415"/>
      <c r="D31" s="416"/>
      <c r="E31" s="415"/>
      <c r="F31" s="416"/>
      <c r="G31" s="415"/>
      <c r="H31" s="416"/>
      <c r="I31" s="415"/>
      <c r="J31" s="416"/>
      <c r="K31" s="415"/>
      <c r="L31" s="416"/>
      <c r="M31" s="415"/>
      <c r="N31" s="416"/>
      <c r="O31" s="417"/>
      <c r="P31" s="416"/>
      <c r="Q31" s="415"/>
      <c r="R31" s="414">
        <f t="shared" si="0"/>
        <v>0</v>
      </c>
    </row>
    <row r="32" spans="1:18" ht="13.5" thickBot="1" x14ac:dyDescent="0.25">
      <c r="A32" s="412">
        <v>42457</v>
      </c>
      <c r="B32" s="411">
        <v>11815</v>
      </c>
      <c r="C32" s="406">
        <f>4323+6212</f>
        <v>10535</v>
      </c>
      <c r="D32" s="407">
        <f>6870+24+2413</f>
        <v>9307</v>
      </c>
      <c r="E32" s="406">
        <f>4114+8452</f>
        <v>12566</v>
      </c>
      <c r="F32" s="410">
        <v>1861</v>
      </c>
      <c r="G32" s="409">
        <v>2832</v>
      </c>
      <c r="H32" s="407">
        <f>8873+392</f>
        <v>9265</v>
      </c>
      <c r="I32" s="406">
        <f>1770+14272</f>
        <v>16042</v>
      </c>
      <c r="J32" s="407">
        <f>10215+1197</f>
        <v>11412</v>
      </c>
      <c r="K32" s="406">
        <f>6372+7786-1084</f>
        <v>13074</v>
      </c>
      <c r="L32" s="407">
        <v>12044</v>
      </c>
      <c r="M32" s="406">
        <f>1775+6518</f>
        <v>8293</v>
      </c>
      <c r="N32" s="407">
        <v>1978</v>
      </c>
      <c r="O32" s="408">
        <f>298+2919</f>
        <v>3217</v>
      </c>
      <c r="P32" s="407">
        <f>3274+658</f>
        <v>3932</v>
      </c>
      <c r="Q32" s="406">
        <v>1820</v>
      </c>
      <c r="R32" s="362">
        <f t="shared" si="0"/>
        <v>129993</v>
      </c>
    </row>
    <row r="33" spans="1:18" ht="13.5" thickBot="1" x14ac:dyDescent="0.25">
      <c r="A33" s="412">
        <v>42458</v>
      </c>
      <c r="B33" s="411">
        <v>12238</v>
      </c>
      <c r="C33" s="406">
        <f>1344+14497</f>
        <v>15841</v>
      </c>
      <c r="D33" s="407">
        <v>10864</v>
      </c>
      <c r="E33" s="406">
        <f>1084+7999</f>
        <v>9083</v>
      </c>
      <c r="F33" s="407">
        <v>14354</v>
      </c>
      <c r="G33" s="406">
        <v>3184</v>
      </c>
      <c r="H33" s="407">
        <f>11544+1013</f>
        <v>12557</v>
      </c>
      <c r="I33" s="406">
        <f>2609+6537</f>
        <v>9146</v>
      </c>
      <c r="J33" s="407">
        <v>6741</v>
      </c>
      <c r="K33" s="406">
        <f>2384+8414</f>
        <v>10798</v>
      </c>
      <c r="L33" s="407">
        <f>12382+1707</f>
        <v>14089</v>
      </c>
      <c r="M33" s="406">
        <f>4840.5+6407.3-1436.25</f>
        <v>9811.5499999999993</v>
      </c>
      <c r="N33" s="407">
        <v>5761</v>
      </c>
      <c r="O33" s="408">
        <f>318+2348</f>
        <v>2666</v>
      </c>
      <c r="P33" s="407">
        <v>866</v>
      </c>
      <c r="Q33" s="406">
        <v>1805</v>
      </c>
      <c r="R33" s="362">
        <f t="shared" si="0"/>
        <v>139804.54999999999</v>
      </c>
    </row>
    <row r="34" spans="1:18" ht="13.5" thickBot="1" x14ac:dyDescent="0.25">
      <c r="A34" s="412">
        <v>42459</v>
      </c>
      <c r="B34" s="411">
        <f>12674+4960</f>
        <v>17634</v>
      </c>
      <c r="C34" s="406">
        <f>1546+7823.2</f>
        <v>9369.2000000000007</v>
      </c>
      <c r="D34" s="407">
        <f>18664+1965</f>
        <v>20629</v>
      </c>
      <c r="E34" s="406">
        <f>2317+8815</f>
        <v>11132</v>
      </c>
      <c r="F34" s="407">
        <f>2745+2596</f>
        <v>5341</v>
      </c>
      <c r="G34" s="406">
        <v>1646</v>
      </c>
      <c r="H34" s="407">
        <v>8367</v>
      </c>
      <c r="I34" s="406">
        <f>150+5010</f>
        <v>5160</v>
      </c>
      <c r="J34" s="407">
        <v>6431</v>
      </c>
      <c r="K34" s="406">
        <f>1175+3446</f>
        <v>4621</v>
      </c>
      <c r="L34" s="407">
        <f>12020+865</f>
        <v>12885</v>
      </c>
      <c r="M34" s="406">
        <f>50+10908</f>
        <v>10958</v>
      </c>
      <c r="N34" s="407">
        <v>14772</v>
      </c>
      <c r="O34" s="408">
        <f>1232+4134</f>
        <v>5366</v>
      </c>
      <c r="P34" s="407">
        <v>720</v>
      </c>
      <c r="Q34" s="406">
        <v>7484</v>
      </c>
      <c r="R34" s="362">
        <f t="shared" si="0"/>
        <v>142515.20000000001</v>
      </c>
    </row>
    <row r="35" spans="1:18" ht="13.5" thickBot="1" x14ac:dyDescent="0.25">
      <c r="A35" s="412">
        <v>42460</v>
      </c>
      <c r="B35" s="411">
        <f>25524+1911</f>
        <v>27435</v>
      </c>
      <c r="C35" s="406">
        <v>8212</v>
      </c>
      <c r="D35" s="407">
        <f>24311+5238</f>
        <v>29549</v>
      </c>
      <c r="E35" s="406">
        <v>8475</v>
      </c>
      <c r="F35" s="410">
        <v>13707</v>
      </c>
      <c r="G35" s="409">
        <v>5127</v>
      </c>
      <c r="H35" s="407">
        <v>12331</v>
      </c>
      <c r="I35" s="406">
        <f>2646+8797</f>
        <v>11443</v>
      </c>
      <c r="J35" s="407">
        <v>18385</v>
      </c>
      <c r="K35" s="406">
        <f>3917+5827</f>
        <v>9744</v>
      </c>
      <c r="L35" s="407">
        <f>19694+7338</f>
        <v>27032</v>
      </c>
      <c r="M35" s="406">
        <f>848+9210</f>
        <v>10058</v>
      </c>
      <c r="N35" s="407">
        <v>18225</v>
      </c>
      <c r="O35" s="408">
        <f>2650+2538</f>
        <v>5188</v>
      </c>
      <c r="P35" s="407">
        <v>8596</v>
      </c>
      <c r="Q35" s="406">
        <v>4567</v>
      </c>
      <c r="R35" s="362">
        <f t="shared" si="0"/>
        <v>218074</v>
      </c>
    </row>
    <row r="36" spans="1:18" ht="13.5" thickBot="1" x14ac:dyDescent="0.25">
      <c r="A36" s="405" t="s">
        <v>8</v>
      </c>
      <c r="B36" s="404">
        <f t="shared" ref="B36:Q36" si="1">SUM(B5:B35)</f>
        <v>428507</v>
      </c>
      <c r="C36" s="403">
        <f t="shared" si="1"/>
        <v>328405.2</v>
      </c>
      <c r="D36" s="404">
        <f t="shared" si="1"/>
        <v>586370.94999999995</v>
      </c>
      <c r="E36" s="403">
        <f t="shared" si="1"/>
        <v>445498.25</v>
      </c>
      <c r="F36" s="404">
        <f t="shared" si="1"/>
        <v>263442</v>
      </c>
      <c r="G36" s="403">
        <f t="shared" si="1"/>
        <v>119548</v>
      </c>
      <c r="H36" s="404">
        <f t="shared" si="1"/>
        <v>330082</v>
      </c>
      <c r="I36" s="403">
        <f t="shared" si="1"/>
        <v>324350.5</v>
      </c>
      <c r="J36" s="404">
        <f t="shared" si="1"/>
        <v>302224</v>
      </c>
      <c r="K36" s="403">
        <f t="shared" si="1"/>
        <v>224956</v>
      </c>
      <c r="L36" s="401">
        <f t="shared" si="1"/>
        <v>470302</v>
      </c>
      <c r="M36" s="402">
        <f t="shared" si="1"/>
        <v>293095.55</v>
      </c>
      <c r="N36" s="401">
        <f t="shared" si="1"/>
        <v>320354</v>
      </c>
      <c r="O36" s="400">
        <f t="shared" si="1"/>
        <v>126343</v>
      </c>
      <c r="P36" s="399">
        <f t="shared" si="1"/>
        <v>145637</v>
      </c>
      <c r="Q36" s="398">
        <f t="shared" si="1"/>
        <v>122562</v>
      </c>
      <c r="R36" s="397"/>
    </row>
    <row r="37" spans="1:18" ht="13.5" thickBot="1" x14ac:dyDescent="0.25">
      <c r="A37" s="396"/>
      <c r="B37" s="395" t="s">
        <v>9</v>
      </c>
      <c r="C37" s="386">
        <f>+B36+C36</f>
        <v>756912.2</v>
      </c>
      <c r="D37" s="390" t="s">
        <v>10</v>
      </c>
      <c r="E37" s="387">
        <f>+D36+E36</f>
        <v>1031869.2</v>
      </c>
      <c r="F37" s="393" t="s">
        <v>11</v>
      </c>
      <c r="G37" s="392">
        <f>+F36+G36</f>
        <v>382990</v>
      </c>
      <c r="H37" s="394" t="s">
        <v>12</v>
      </c>
      <c r="I37" s="386">
        <f>+H36+I36</f>
        <v>654432.5</v>
      </c>
      <c r="J37" s="393" t="s">
        <v>13</v>
      </c>
      <c r="K37" s="392">
        <f>+J36+K36</f>
        <v>527180</v>
      </c>
      <c r="L37" s="391" t="s">
        <v>14</v>
      </c>
      <c r="M37" s="391">
        <f>+L36+M36</f>
        <v>763397.55</v>
      </c>
      <c r="N37" s="390" t="s">
        <v>15</v>
      </c>
      <c r="O37" s="389">
        <f>+N36+O36</f>
        <v>446697</v>
      </c>
      <c r="P37" s="388" t="s">
        <v>102</v>
      </c>
      <c r="Q37" s="387">
        <f>+P36+Q36</f>
        <v>268199</v>
      </c>
      <c r="R37" s="386">
        <f>SUM(R5:R35)</f>
        <v>4831677.45</v>
      </c>
    </row>
    <row r="38" spans="1:18" ht="13.5" thickBot="1" x14ac:dyDescent="0.25">
      <c r="B38" s="385">
        <f>+B36/C37*100</f>
        <v>56.612510671647257</v>
      </c>
      <c r="C38" s="385">
        <f>+C36/C37*100</f>
        <v>43.38748932835275</v>
      </c>
      <c r="D38" s="385">
        <f>+D36/E37*100</f>
        <v>56.826092880764342</v>
      </c>
      <c r="E38" s="385">
        <f>+E36/E37*100</f>
        <v>43.173907119235658</v>
      </c>
      <c r="F38" s="385">
        <f>+F36/G37*100</f>
        <v>68.785607979320602</v>
      </c>
      <c r="G38" s="385">
        <f>+G36/G37*100</f>
        <v>31.214392020679394</v>
      </c>
      <c r="H38" s="385">
        <f>+H36/I37*100</f>
        <v>50.437898484564869</v>
      </c>
      <c r="I38" s="385">
        <f>+I36/I37*100</f>
        <v>49.562101515435131</v>
      </c>
      <c r="J38" s="385">
        <f>+J36/K37*100</f>
        <v>57.328426723320305</v>
      </c>
      <c r="K38" s="385">
        <f>+K36/K37*100</f>
        <v>42.671573276679695</v>
      </c>
      <c r="L38" s="385">
        <f>+L36/M37*100</f>
        <v>61.606432978465811</v>
      </c>
      <c r="M38" s="385">
        <f>+M36/M37*100</f>
        <v>38.393567021534189</v>
      </c>
      <c r="N38" s="385">
        <f>+N36/O37*100</f>
        <v>71.716174498597482</v>
      </c>
      <c r="O38" s="385">
        <f>+O36/O37*100</f>
        <v>28.283825501402514</v>
      </c>
      <c r="P38" s="385"/>
      <c r="Q38" s="385"/>
    </row>
    <row r="39" spans="1:18" ht="13.5" thickBot="1" x14ac:dyDescent="0.25">
      <c r="A39" s="384" t="s">
        <v>17</v>
      </c>
      <c r="B39" s="383"/>
      <c r="C39" s="382">
        <f>C37/R37</f>
        <v>0.15665619400980502</v>
      </c>
      <c r="D39" s="382"/>
      <c r="E39" s="382">
        <f>E37/R37</f>
        <v>0.21356334537604532</v>
      </c>
      <c r="F39" s="382"/>
      <c r="G39" s="382">
        <f>G37/R37</f>
        <v>7.9266466763007942E-2</v>
      </c>
      <c r="H39" s="382"/>
      <c r="I39" s="382">
        <f>I37/R37</f>
        <v>0.1354462309978908</v>
      </c>
      <c r="J39" s="382"/>
      <c r="K39" s="382">
        <f>K37/R37</f>
        <v>0.10910910454090846</v>
      </c>
      <c r="L39" s="382"/>
      <c r="M39" s="382">
        <f>M37/R37</f>
        <v>0.15799845041394475</v>
      </c>
      <c r="N39" s="382"/>
      <c r="O39" s="382">
        <f>+O37/R37</f>
        <v>9.2451742613737592E-2</v>
      </c>
      <c r="P39" s="382"/>
      <c r="Q39" s="382"/>
      <c r="R39" s="381">
        <f>R37/R37</f>
        <v>1</v>
      </c>
    </row>
    <row r="40" spans="1:18" ht="13.5" thickBot="1" x14ac:dyDescent="0.25">
      <c r="A40" s="380" t="s">
        <v>18</v>
      </c>
      <c r="B40" s="379"/>
      <c r="C40" s="378">
        <f>C37/25</f>
        <v>30276.487999999998</v>
      </c>
      <c r="D40" s="378"/>
      <c r="E40" s="378">
        <f>E37/26</f>
        <v>39687.276923076919</v>
      </c>
      <c r="F40" s="378"/>
      <c r="G40" s="378">
        <f>G37/26</f>
        <v>14730.384615384615</v>
      </c>
      <c r="H40" s="378"/>
      <c r="I40" s="378">
        <f>I37/26</f>
        <v>25170.48076923077</v>
      </c>
      <c r="J40" s="378"/>
      <c r="K40" s="378">
        <f>K37/26</f>
        <v>20276.153846153848</v>
      </c>
      <c r="L40" s="378"/>
      <c r="M40" s="378">
        <f>M37/26</f>
        <v>29361.444230769233</v>
      </c>
      <c r="N40" s="378"/>
      <c r="O40" s="378">
        <f>O37/26</f>
        <v>17180.653846153848</v>
      </c>
      <c r="P40" s="378"/>
      <c r="Q40" s="378"/>
      <c r="R40" s="377">
        <f>R37/25</f>
        <v>193267.098</v>
      </c>
    </row>
    <row r="41" spans="1:18" ht="16.5" thickBot="1" x14ac:dyDescent="0.3">
      <c r="C41" s="376" t="s">
        <v>1</v>
      </c>
      <c r="D41" s="376"/>
      <c r="E41" s="376">
        <v>48</v>
      </c>
      <c r="F41" s="375"/>
      <c r="G41" s="375" t="s">
        <v>2</v>
      </c>
      <c r="H41" s="375"/>
      <c r="I41" s="375" t="s">
        <v>3</v>
      </c>
      <c r="J41" s="375"/>
      <c r="K41" s="375">
        <v>12</v>
      </c>
      <c r="L41" s="375"/>
      <c r="M41" s="375">
        <v>49</v>
      </c>
      <c r="N41" s="374"/>
      <c r="O41" s="374" t="s">
        <v>4</v>
      </c>
      <c r="P41" s="374"/>
      <c r="Q41" s="374"/>
      <c r="R41" s="373">
        <f>AVERAGE(C42,E42,G42,I42,K42,M42)</f>
        <v>1087</v>
      </c>
    </row>
    <row r="42" spans="1:18" ht="13.5" thickBot="1" x14ac:dyDescent="0.25">
      <c r="A42" s="372" t="s">
        <v>19</v>
      </c>
      <c r="B42" s="371"/>
      <c r="C42" s="370">
        <f>543+623</f>
        <v>1166</v>
      </c>
      <c r="D42" s="370"/>
      <c r="E42" s="370">
        <f>727+947</f>
        <v>1674</v>
      </c>
      <c r="F42" s="370"/>
      <c r="G42" s="370">
        <f>218+310</f>
        <v>528</v>
      </c>
      <c r="H42" s="370"/>
      <c r="I42" s="370">
        <f>598+536</f>
        <v>1134</v>
      </c>
      <c r="J42" s="370"/>
      <c r="K42" s="370">
        <f>478+387</f>
        <v>865</v>
      </c>
      <c r="L42" s="369"/>
      <c r="M42" s="369">
        <f>520+635</f>
        <v>1155</v>
      </c>
      <c r="N42" s="369"/>
      <c r="O42" s="369"/>
      <c r="P42" s="368"/>
      <c r="Q42" s="368">
        <f>SUM(C42:O42)</f>
        <v>6522</v>
      </c>
      <c r="R42" s="362">
        <f>AVERAGE(C43,E43,G43,I43,K43,M43)</f>
        <v>639.738312471114</v>
      </c>
    </row>
    <row r="43" spans="1:18" ht="13.5" thickBot="1" x14ac:dyDescent="0.25">
      <c r="A43" s="367" t="s">
        <v>20</v>
      </c>
      <c r="B43" s="366"/>
      <c r="C43" s="364">
        <f>+C37/C42</f>
        <v>649.15283018867922</v>
      </c>
      <c r="D43" s="364"/>
      <c r="E43" s="364">
        <f>+E37/E42</f>
        <v>616.40931899641578</v>
      </c>
      <c r="F43" s="364"/>
      <c r="G43" s="364">
        <f>+G37/G42</f>
        <v>725.3598484848485</v>
      </c>
      <c r="H43" s="364"/>
      <c r="I43" s="364">
        <f>+I37/I42</f>
        <v>577.10097001763666</v>
      </c>
      <c r="J43" s="364"/>
      <c r="K43" s="365">
        <f>+K37/K42</f>
        <v>609.45664739884398</v>
      </c>
      <c r="L43" s="365"/>
      <c r="M43" s="364">
        <f>+M37/M42</f>
        <v>660.95025974025975</v>
      </c>
      <c r="N43" s="364"/>
      <c r="O43" s="364" t="e">
        <f>+O37/O42</f>
        <v>#DIV/0!</v>
      </c>
      <c r="P43" s="363"/>
      <c r="Q43" s="363"/>
      <c r="R43" s="362"/>
    </row>
    <row r="44" spans="1:18" x14ac:dyDescent="0.2">
      <c r="A44" s="361"/>
      <c r="B44" s="361"/>
      <c r="C44" s="359"/>
      <c r="D44" s="359"/>
      <c r="E44" s="359"/>
      <c r="F44" s="359"/>
      <c r="G44" s="359"/>
      <c r="H44" s="359"/>
      <c r="I44" s="359"/>
      <c r="J44" s="359"/>
      <c r="K44" s="360"/>
      <c r="L44" s="360"/>
      <c r="M44" s="359"/>
      <c r="N44" s="359"/>
      <c r="O44" s="359"/>
      <c r="P44" s="359"/>
      <c r="Q44" s="359"/>
      <c r="R44" s="358"/>
    </row>
    <row r="45" spans="1:18" x14ac:dyDescent="0.2">
      <c r="A45" s="663" t="s">
        <v>21</v>
      </c>
      <c r="B45" s="663"/>
      <c r="C45" s="357" t="s">
        <v>22</v>
      </c>
      <c r="F45" s="664" t="s">
        <v>23</v>
      </c>
      <c r="G45" s="664"/>
      <c r="H45" s="355" t="s">
        <v>22</v>
      </c>
      <c r="K45" s="665" t="s">
        <v>24</v>
      </c>
      <c r="L45" s="665"/>
      <c r="M45" s="348" t="s">
        <v>22</v>
      </c>
    </row>
    <row r="46" spans="1:18" x14ac:dyDescent="0.2">
      <c r="A46" s="357" t="s">
        <v>25</v>
      </c>
      <c r="B46" s="356">
        <f>+C36+E36+I36+O36</f>
        <v>1224596.95</v>
      </c>
      <c r="C46" s="356">
        <f>+(B46/B48)*100</f>
        <v>42.374903323143975</v>
      </c>
      <c r="F46" s="355" t="s">
        <v>26</v>
      </c>
      <c r="G46" s="354">
        <f>+G36+K36+M36</f>
        <v>637599.55000000005</v>
      </c>
      <c r="H46" s="354">
        <f>+(G46/G48)*100</f>
        <v>38.098226151672222</v>
      </c>
      <c r="K46" s="348" t="s">
        <v>26</v>
      </c>
      <c r="L46" s="349">
        <f>+B46+G46</f>
        <v>1862196.5</v>
      </c>
      <c r="M46" s="349">
        <f>+L46/L48*100</f>
        <v>40.80651460072086</v>
      </c>
    </row>
    <row r="47" spans="1:18" x14ac:dyDescent="0.2">
      <c r="A47" s="357" t="s">
        <v>27</v>
      </c>
      <c r="B47" s="356">
        <f>+B36+D36+H36+N36</f>
        <v>1665313.95</v>
      </c>
      <c r="C47" s="356">
        <f>+(B47/B48)*100</f>
        <v>57.625096676856025</v>
      </c>
      <c r="F47" s="355" t="s">
        <v>28</v>
      </c>
      <c r="G47" s="354">
        <f>+F36+J36+L36</f>
        <v>1035968</v>
      </c>
      <c r="H47" s="354">
        <f>+(G47/G48)*100</f>
        <v>61.901773848327778</v>
      </c>
      <c r="K47" s="348" t="s">
        <v>29</v>
      </c>
      <c r="L47" s="349">
        <f>+B47+G47</f>
        <v>2701281.95</v>
      </c>
      <c r="M47" s="349">
        <f>+L47/L48*100</f>
        <v>59.193485399279147</v>
      </c>
    </row>
    <row r="48" spans="1:18" x14ac:dyDescent="0.2">
      <c r="A48" s="352"/>
      <c r="B48" s="353">
        <f>+B46+B47</f>
        <v>2889910.9</v>
      </c>
      <c r="C48" s="352"/>
      <c r="F48" s="350"/>
      <c r="G48" s="351">
        <f>+G46+G47</f>
        <v>1673567.55</v>
      </c>
      <c r="H48" s="350"/>
      <c r="K48" s="348"/>
      <c r="L48" s="349">
        <f>SUM(L46:L47)</f>
        <v>4563478.45</v>
      </c>
      <c r="M48" s="348"/>
    </row>
  </sheetData>
  <mergeCells count="12">
    <mergeCell ref="P3:Q3"/>
    <mergeCell ref="L3:M3"/>
    <mergeCell ref="N3:O3"/>
    <mergeCell ref="A45:B45"/>
    <mergeCell ref="F45:G45"/>
    <mergeCell ref="K45:L45"/>
    <mergeCell ref="C1:M1"/>
    <mergeCell ref="B3:C3"/>
    <mergeCell ref="D3:E3"/>
    <mergeCell ref="F3:G3"/>
    <mergeCell ref="H3:I3"/>
    <mergeCell ref="J3:K3"/>
  </mergeCells>
  <phoneticPr fontId="55" type="noConversion"/>
  <pageMargins left="0.7" right="0.7" top="0.75" bottom="0.75" header="0.3" footer="0.3"/>
  <pageSetup paperSize="9" scale="67" fitToHeight="0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0"/>
  <sheetViews>
    <sheetView workbookViewId="0">
      <selection activeCell="C2" sqref="C2"/>
    </sheetView>
  </sheetViews>
  <sheetFormatPr baseColWidth="10" defaultRowHeight="12.75" x14ac:dyDescent="0.2"/>
  <cols>
    <col min="1" max="1" width="12.85546875" customWidth="1"/>
    <col min="2" max="2" width="14.42578125" bestFit="1" customWidth="1"/>
    <col min="3" max="3" width="13.28515625" bestFit="1" customWidth="1"/>
    <col min="5" max="5" width="13.28515625" bestFit="1" customWidth="1"/>
    <col min="7" max="7" width="14.42578125" bestFit="1" customWidth="1"/>
    <col min="9" max="9" width="11.7109375" bestFit="1" customWidth="1"/>
    <col min="13" max="13" width="13.28515625" bestFit="1" customWidth="1"/>
    <col min="17" max="17" width="16.5703125" bestFit="1" customWidth="1"/>
    <col min="18" max="18" width="13.42578125" customWidth="1"/>
  </cols>
  <sheetData>
    <row r="1" spans="1:18" x14ac:dyDescent="0.2">
      <c r="C1" s="668" t="s">
        <v>161</v>
      </c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467"/>
      <c r="O1" s="467"/>
      <c r="P1" s="467"/>
      <c r="Q1" s="467"/>
    </row>
    <row r="2" spans="1:18" ht="13.5" thickBot="1" x14ac:dyDescent="0.25"/>
    <row r="3" spans="1:18" ht="16.5" thickBot="1" x14ac:dyDescent="0.3">
      <c r="A3" s="1" t="s">
        <v>107</v>
      </c>
      <c r="B3" s="649" t="s">
        <v>143</v>
      </c>
      <c r="C3" s="650"/>
      <c r="D3" s="649" t="s">
        <v>144</v>
      </c>
      <c r="E3" s="650"/>
      <c r="F3" s="649" t="s">
        <v>145</v>
      </c>
      <c r="G3" s="650"/>
      <c r="H3" s="649" t="s">
        <v>146</v>
      </c>
      <c r="I3" s="650"/>
      <c r="J3" s="649" t="s">
        <v>147</v>
      </c>
      <c r="K3" s="650"/>
      <c r="L3" s="649" t="s">
        <v>148</v>
      </c>
      <c r="M3" s="650"/>
      <c r="N3" s="649" t="s">
        <v>149</v>
      </c>
      <c r="O3" s="650"/>
      <c r="P3" s="649" t="s">
        <v>150</v>
      </c>
      <c r="Q3" s="650"/>
      <c r="R3" s="2" t="s">
        <v>5</v>
      </c>
    </row>
    <row r="4" spans="1:18" ht="16.5" thickBot="1" x14ac:dyDescent="0.3">
      <c r="A4" s="1"/>
      <c r="B4" s="3" t="s">
        <v>6</v>
      </c>
      <c r="C4" s="4" t="s">
        <v>7</v>
      </c>
      <c r="D4" s="3" t="s">
        <v>6</v>
      </c>
      <c r="E4" s="4" t="s">
        <v>7</v>
      </c>
      <c r="F4" s="5" t="s">
        <v>6</v>
      </c>
      <c r="G4" s="6" t="s">
        <v>7</v>
      </c>
      <c r="H4" s="3" t="s">
        <v>6</v>
      </c>
      <c r="I4" s="4" t="s">
        <v>7</v>
      </c>
      <c r="J4" s="5" t="s">
        <v>6</v>
      </c>
      <c r="K4" s="6" t="s">
        <v>7</v>
      </c>
      <c r="L4" s="5" t="s">
        <v>6</v>
      </c>
      <c r="M4" s="6" t="s">
        <v>7</v>
      </c>
      <c r="N4" s="3" t="s">
        <v>6</v>
      </c>
      <c r="O4" s="455" t="s">
        <v>7</v>
      </c>
      <c r="P4" s="465" t="s">
        <v>6</v>
      </c>
      <c r="Q4" s="466" t="s">
        <v>7</v>
      </c>
      <c r="R4" s="2"/>
    </row>
    <row r="5" spans="1:18" ht="13.5" thickBot="1" x14ac:dyDescent="0.25">
      <c r="A5" s="14">
        <v>44287</v>
      </c>
      <c r="B5" s="15">
        <f>10844+1880+4850</f>
        <v>17574</v>
      </c>
      <c r="C5" s="313">
        <f>21138+16850</f>
        <v>37988</v>
      </c>
      <c r="D5" s="15">
        <f>27256+3390</f>
        <v>30646</v>
      </c>
      <c r="E5" s="314">
        <f>3934+5125</f>
        <v>9059</v>
      </c>
      <c r="F5" s="315">
        <v>3984</v>
      </c>
      <c r="G5" s="314">
        <f>950+2680</f>
        <v>3630</v>
      </c>
      <c r="H5" s="315">
        <v>17205</v>
      </c>
      <c r="I5" s="314">
        <f>1327+2095</f>
        <v>3422</v>
      </c>
      <c r="J5" s="315">
        <v>6418</v>
      </c>
      <c r="K5" s="314">
        <v>5094</v>
      </c>
      <c r="L5" s="315">
        <f>18373+1393+12300</f>
        <v>32066</v>
      </c>
      <c r="M5" s="314">
        <f>1962+4466</f>
        <v>6428</v>
      </c>
      <c r="N5" s="315">
        <v>5495</v>
      </c>
      <c r="O5" s="456">
        <f>2235+2702</f>
        <v>4937</v>
      </c>
      <c r="P5" s="19">
        <v>5632</v>
      </c>
      <c r="Q5" s="18">
        <v>2828</v>
      </c>
      <c r="R5" s="20">
        <f>SUM(B5:Q5)</f>
        <v>192406</v>
      </c>
    </row>
    <row r="6" spans="1:18" ht="13.5" thickBot="1" x14ac:dyDescent="0.25">
      <c r="A6" s="14">
        <v>44288</v>
      </c>
      <c r="B6" s="15">
        <f>17302+2181</f>
        <v>19483</v>
      </c>
      <c r="C6" s="16">
        <f>1475+16991</f>
        <v>18466</v>
      </c>
      <c r="D6" s="17">
        <f>54001+3045</f>
        <v>57046</v>
      </c>
      <c r="E6" s="18">
        <f>7930+14612</f>
        <v>22542</v>
      </c>
      <c r="F6" s="19">
        <v>14665</v>
      </c>
      <c r="G6" s="18">
        <f>4185-319</f>
        <v>3866</v>
      </c>
      <c r="H6" s="19">
        <f>25953+3284+6947</f>
        <v>36184</v>
      </c>
      <c r="I6" s="18">
        <f>6614+13200</f>
        <v>19814</v>
      </c>
      <c r="J6" s="19">
        <f>23315+1200</f>
        <v>24515</v>
      </c>
      <c r="K6" s="18">
        <v>8317</v>
      </c>
      <c r="L6" s="19">
        <v>33747</v>
      </c>
      <c r="M6" s="18">
        <f>3376+10871</f>
        <v>14247</v>
      </c>
      <c r="N6" s="19">
        <v>47620</v>
      </c>
      <c r="O6" s="457">
        <f>1155+7138</f>
        <v>8293</v>
      </c>
      <c r="P6" s="17">
        <v>22009</v>
      </c>
      <c r="Q6" s="16">
        <v>13621</v>
      </c>
      <c r="R6" s="20">
        <f t="shared" ref="R6:R35" si="0">SUM(B6:Q6)</f>
        <v>364435</v>
      </c>
    </row>
    <row r="7" spans="1:18" s="13" customFormat="1" ht="13.5" thickBot="1" x14ac:dyDescent="0.25">
      <c r="A7" s="14">
        <v>44289</v>
      </c>
      <c r="B7" s="8"/>
      <c r="C7" s="21"/>
      <c r="D7" s="8"/>
      <c r="E7" s="21"/>
      <c r="F7" s="22"/>
      <c r="G7" s="23"/>
      <c r="H7" s="22"/>
      <c r="I7" s="23"/>
      <c r="J7" s="22"/>
      <c r="K7" s="23"/>
      <c r="L7" s="22"/>
      <c r="M7" s="23"/>
      <c r="N7" s="22"/>
      <c r="O7" s="458"/>
      <c r="P7" s="26"/>
      <c r="Q7" s="21"/>
      <c r="R7" s="12">
        <f t="shared" si="0"/>
        <v>0</v>
      </c>
    </row>
    <row r="8" spans="1:18" ht="13.5" thickBot="1" x14ac:dyDescent="0.25">
      <c r="A8" s="14">
        <v>44290</v>
      </c>
      <c r="B8" s="15">
        <v>15612</v>
      </c>
      <c r="C8" s="16">
        <f>1172+9403</f>
        <v>10575</v>
      </c>
      <c r="D8" s="15">
        <f>16518+1204</f>
        <v>17722</v>
      </c>
      <c r="E8" s="16">
        <f>5905+2493</f>
        <v>8398</v>
      </c>
      <c r="F8" s="17">
        <v>6253</v>
      </c>
      <c r="G8" s="16">
        <v>1706</v>
      </c>
      <c r="H8" s="19">
        <f>4511+5322</f>
        <v>9833</v>
      </c>
      <c r="I8" s="18">
        <f>260+8259</f>
        <v>8519</v>
      </c>
      <c r="J8" s="19">
        <v>13708</v>
      </c>
      <c r="K8" s="18">
        <f>2998+3425</f>
        <v>6423</v>
      </c>
      <c r="L8" s="17">
        <v>4035</v>
      </c>
      <c r="M8" s="16">
        <v>3375</v>
      </c>
      <c r="N8" s="17">
        <v>3690</v>
      </c>
      <c r="O8" s="457">
        <v>2237</v>
      </c>
      <c r="P8" s="17">
        <v>1843</v>
      </c>
      <c r="Q8" s="16">
        <v>605</v>
      </c>
      <c r="R8" s="20">
        <f t="shared" si="0"/>
        <v>114534</v>
      </c>
    </row>
    <row r="9" spans="1:18" ht="13.5" thickBot="1" x14ac:dyDescent="0.25">
      <c r="A9" s="14">
        <v>44291</v>
      </c>
      <c r="B9" s="15">
        <f>9842+1495</f>
        <v>11337</v>
      </c>
      <c r="C9" s="16">
        <f>5478+12114</f>
        <v>17592</v>
      </c>
      <c r="D9" s="17">
        <f>15801+1204</f>
        <v>17005</v>
      </c>
      <c r="E9" s="16">
        <f>10371+2744</f>
        <v>13115</v>
      </c>
      <c r="F9" s="17">
        <v>6300</v>
      </c>
      <c r="G9" s="16">
        <v>4217</v>
      </c>
      <c r="H9" s="17">
        <f>10784+375</f>
        <v>11159</v>
      </c>
      <c r="I9" s="16">
        <f>394+6352</f>
        <v>6746</v>
      </c>
      <c r="J9" s="17">
        <f>8735+4244.8</f>
        <v>12979.8</v>
      </c>
      <c r="K9" s="16">
        <f>3173+6461</f>
        <v>9634</v>
      </c>
      <c r="L9" s="17">
        <f>6347+3376</f>
        <v>9723</v>
      </c>
      <c r="M9" s="16">
        <f>4629+1425</f>
        <v>6054</v>
      </c>
      <c r="N9" s="17">
        <v>10165</v>
      </c>
      <c r="O9" s="457">
        <v>1169</v>
      </c>
      <c r="P9" s="17">
        <v>7850</v>
      </c>
      <c r="Q9" s="16">
        <v>2876</v>
      </c>
      <c r="R9" s="20">
        <f t="shared" si="0"/>
        <v>147921.79999999999</v>
      </c>
    </row>
    <row r="10" spans="1:18" ht="13.5" thickBot="1" x14ac:dyDescent="0.25">
      <c r="A10" s="14">
        <v>44292</v>
      </c>
      <c r="B10" s="15">
        <v>15187</v>
      </c>
      <c r="C10" s="16">
        <f>3884+11452</f>
        <v>15336</v>
      </c>
      <c r="D10" s="17">
        <v>18587</v>
      </c>
      <c r="E10" s="16">
        <f>2410+15062</f>
        <v>17472</v>
      </c>
      <c r="F10" s="17">
        <v>8184</v>
      </c>
      <c r="G10" s="16">
        <v>804</v>
      </c>
      <c r="H10" s="17">
        <f>17077+1638</f>
        <v>18715</v>
      </c>
      <c r="I10" s="16">
        <f>1140+10851</f>
        <v>11991</v>
      </c>
      <c r="J10" s="17">
        <v>1609</v>
      </c>
      <c r="K10" s="16">
        <f>1750+2954</f>
        <v>4704</v>
      </c>
      <c r="L10" s="17">
        <v>7412</v>
      </c>
      <c r="M10" s="16">
        <f>2795+2686</f>
        <v>5481</v>
      </c>
      <c r="N10" s="17">
        <v>7571</v>
      </c>
      <c r="O10" s="457">
        <f>908+4464</f>
        <v>5372</v>
      </c>
      <c r="P10" s="17">
        <v>2199</v>
      </c>
      <c r="Q10" s="16">
        <v>6162</v>
      </c>
      <c r="R10" s="20">
        <f t="shared" si="0"/>
        <v>146786</v>
      </c>
    </row>
    <row r="11" spans="1:18" ht="13.5" thickBot="1" x14ac:dyDescent="0.25">
      <c r="A11" s="14">
        <v>44293</v>
      </c>
      <c r="B11" s="15">
        <v>18887</v>
      </c>
      <c r="C11" s="16">
        <f>2380+13540</f>
        <v>15920</v>
      </c>
      <c r="D11" s="17">
        <f>32822+1859</f>
        <v>34681</v>
      </c>
      <c r="E11" s="16">
        <f>4386+9706</f>
        <v>14092</v>
      </c>
      <c r="F11" s="17">
        <v>17185</v>
      </c>
      <c r="G11" s="16">
        <f>600+2907</f>
        <v>3507</v>
      </c>
      <c r="H11" s="17">
        <v>24987</v>
      </c>
      <c r="I11" s="16">
        <f>1709+12289-1299</f>
        <v>12699</v>
      </c>
      <c r="J11" s="17">
        <v>25496</v>
      </c>
      <c r="K11" s="16">
        <f>14416+1531</f>
        <v>15947</v>
      </c>
      <c r="L11" s="17">
        <v>25025</v>
      </c>
      <c r="M11" s="16">
        <v>4813</v>
      </c>
      <c r="N11" s="17">
        <v>7013</v>
      </c>
      <c r="O11" s="457">
        <f>373+5397</f>
        <v>5770</v>
      </c>
      <c r="P11" s="17">
        <v>11806</v>
      </c>
      <c r="Q11" s="16">
        <v>1327</v>
      </c>
      <c r="R11" s="20">
        <f t="shared" si="0"/>
        <v>239155</v>
      </c>
    </row>
    <row r="12" spans="1:18" ht="13.5" thickBot="1" x14ac:dyDescent="0.25">
      <c r="A12" s="14">
        <v>44294</v>
      </c>
      <c r="B12" s="15">
        <v>21181</v>
      </c>
      <c r="C12" s="16">
        <f>6267+8970</f>
        <v>15237</v>
      </c>
      <c r="D12" s="17">
        <f>26992+1842</f>
        <v>28834</v>
      </c>
      <c r="E12" s="16">
        <f>9685+8422</f>
        <v>18107</v>
      </c>
      <c r="F12" s="17">
        <v>9943</v>
      </c>
      <c r="G12" s="16">
        <f>990+3844</f>
        <v>4834</v>
      </c>
      <c r="H12" s="17">
        <v>25559</v>
      </c>
      <c r="I12" s="16">
        <f>6445+8876</f>
        <v>15321</v>
      </c>
      <c r="J12" s="17">
        <f>27704+4710</f>
        <v>32414</v>
      </c>
      <c r="K12" s="16">
        <f>7631+2995</f>
        <v>10626</v>
      </c>
      <c r="L12" s="17">
        <v>31991</v>
      </c>
      <c r="M12" s="16">
        <v>13901</v>
      </c>
      <c r="N12" s="17">
        <v>10222</v>
      </c>
      <c r="O12" s="457">
        <f>2518+5556</f>
        <v>8074</v>
      </c>
      <c r="P12" s="17">
        <v>3783</v>
      </c>
      <c r="Q12" s="16">
        <v>6553</v>
      </c>
      <c r="R12" s="20">
        <f t="shared" si="0"/>
        <v>256580</v>
      </c>
    </row>
    <row r="13" spans="1:18" ht="13.5" thickBot="1" x14ac:dyDescent="0.25">
      <c r="A13" s="14">
        <v>44295</v>
      </c>
      <c r="B13" s="15">
        <f>33970+164</f>
        <v>34134</v>
      </c>
      <c r="C13" s="16">
        <f>2172+22389</f>
        <v>24561</v>
      </c>
      <c r="D13" s="17">
        <f>78790+589+4610</f>
        <v>83989</v>
      </c>
      <c r="E13" s="16">
        <f>14043+28953</f>
        <v>42996</v>
      </c>
      <c r="F13" s="17">
        <v>25793</v>
      </c>
      <c r="G13" s="16">
        <f>2429+634</f>
        <v>3063</v>
      </c>
      <c r="H13" s="17">
        <f>32017+435</f>
        <v>32452</v>
      </c>
      <c r="I13" s="16">
        <f>3105+22517</f>
        <v>25622</v>
      </c>
      <c r="J13" s="17">
        <v>37265</v>
      </c>
      <c r="K13" s="16">
        <f>6243+6706</f>
        <v>12949</v>
      </c>
      <c r="L13" s="17">
        <f>45675+2464</f>
        <v>48139</v>
      </c>
      <c r="M13" s="16">
        <f>3148+24845</f>
        <v>27993</v>
      </c>
      <c r="N13" s="17">
        <v>28016</v>
      </c>
      <c r="O13" s="457">
        <f>2396+5401</f>
        <v>7797</v>
      </c>
      <c r="P13" s="17">
        <v>22146</v>
      </c>
      <c r="Q13" s="16">
        <v>16947</v>
      </c>
      <c r="R13" s="20">
        <f t="shared" si="0"/>
        <v>473862</v>
      </c>
    </row>
    <row r="14" spans="1:18" s="13" customFormat="1" ht="13.5" thickBot="1" x14ac:dyDescent="0.25">
      <c r="A14" s="14">
        <v>44296</v>
      </c>
      <c r="B14" s="8"/>
      <c r="C14" s="21"/>
      <c r="D14" s="26"/>
      <c r="E14" s="21"/>
      <c r="F14" s="26"/>
      <c r="G14" s="21"/>
      <c r="H14" s="26"/>
      <c r="I14" s="21"/>
      <c r="J14" s="26"/>
      <c r="K14" s="21"/>
      <c r="L14" s="26"/>
      <c r="M14" s="21"/>
      <c r="N14" s="26"/>
      <c r="O14" s="458"/>
      <c r="P14" s="26"/>
      <c r="Q14" s="21"/>
      <c r="R14" s="12">
        <f t="shared" si="0"/>
        <v>0</v>
      </c>
    </row>
    <row r="15" spans="1:18" ht="13.5" thickBot="1" x14ac:dyDescent="0.25">
      <c r="A15" s="14">
        <v>44297</v>
      </c>
      <c r="B15" s="15">
        <v>15438</v>
      </c>
      <c r="C15" s="16">
        <f>7423+12083</f>
        <v>19506</v>
      </c>
      <c r="D15" s="17">
        <f>13230+2447</f>
        <v>15677</v>
      </c>
      <c r="E15" s="16">
        <f>3233+11788</f>
        <v>15021</v>
      </c>
      <c r="F15" s="483">
        <v>9088</v>
      </c>
      <c r="G15" s="484">
        <v>3951</v>
      </c>
      <c r="H15" s="17">
        <v>17937</v>
      </c>
      <c r="I15" s="16">
        <f>5242+5167</f>
        <v>10409</v>
      </c>
      <c r="J15" s="17">
        <v>14748</v>
      </c>
      <c r="K15" s="16">
        <f>3192+3966</f>
        <v>7158</v>
      </c>
      <c r="L15" s="17">
        <v>8950</v>
      </c>
      <c r="M15" s="16">
        <f>8008+9581</f>
        <v>17589</v>
      </c>
      <c r="N15" s="17">
        <v>5127</v>
      </c>
      <c r="O15" s="457">
        <f>1329+58</f>
        <v>1387</v>
      </c>
      <c r="P15" s="17">
        <f>5170+3676</f>
        <v>8846</v>
      </c>
      <c r="Q15" s="16">
        <v>7777</v>
      </c>
      <c r="R15" s="20">
        <f t="shared" si="0"/>
        <v>178609</v>
      </c>
    </row>
    <row r="16" spans="1:18" ht="13.5" thickBot="1" x14ac:dyDescent="0.25">
      <c r="A16" s="14">
        <v>44298</v>
      </c>
      <c r="B16" s="15">
        <v>18618</v>
      </c>
      <c r="C16" s="16">
        <f>90+9028</f>
        <v>9118</v>
      </c>
      <c r="D16" s="17">
        <f>19230+1125</f>
        <v>20355</v>
      </c>
      <c r="E16" s="16">
        <f>8772+8631</f>
        <v>17403</v>
      </c>
      <c r="F16" s="17">
        <f>7585.95+975</f>
        <v>8560.9500000000007</v>
      </c>
      <c r="G16" s="16">
        <f>1000+6693</f>
        <v>7693</v>
      </c>
      <c r="H16" s="17">
        <f>6723+383</f>
        <v>7106</v>
      </c>
      <c r="I16" s="16">
        <f>6853+8192</f>
        <v>15045</v>
      </c>
      <c r="J16" s="17">
        <v>7125</v>
      </c>
      <c r="K16" s="16">
        <f>3480+3891</f>
        <v>7371</v>
      </c>
      <c r="L16" s="17">
        <f>11370+195</f>
        <v>11565</v>
      </c>
      <c r="M16" s="16">
        <f>9624+4932</f>
        <v>14556</v>
      </c>
      <c r="N16" s="17">
        <v>8133</v>
      </c>
      <c r="O16" s="457">
        <f>2157+2429</f>
        <v>4586</v>
      </c>
      <c r="P16" s="17">
        <v>8223</v>
      </c>
      <c r="Q16" s="16">
        <v>3092</v>
      </c>
      <c r="R16" s="20">
        <f t="shared" si="0"/>
        <v>168549.95</v>
      </c>
    </row>
    <row r="17" spans="1:18" ht="13.5" thickBot="1" x14ac:dyDescent="0.25">
      <c r="A17" s="14">
        <v>44299</v>
      </c>
      <c r="B17" s="15">
        <v>15879</v>
      </c>
      <c r="C17" s="16">
        <v>5501</v>
      </c>
      <c r="D17" s="17">
        <v>11273</v>
      </c>
      <c r="E17" s="16">
        <v>10017</v>
      </c>
      <c r="F17" s="17">
        <f>6183+2193</f>
        <v>8376</v>
      </c>
      <c r="G17" s="16">
        <f>3266+3725.5</f>
        <v>6991.5</v>
      </c>
      <c r="H17" s="17">
        <v>14134</v>
      </c>
      <c r="I17" s="16">
        <v>7590</v>
      </c>
      <c r="J17" s="17">
        <v>8636</v>
      </c>
      <c r="K17" s="16">
        <f>3750+4384</f>
        <v>8134</v>
      </c>
      <c r="L17" s="17">
        <v>17387</v>
      </c>
      <c r="M17" s="16">
        <f>2185+320</f>
        <v>2505</v>
      </c>
      <c r="N17" s="27">
        <v>6898</v>
      </c>
      <c r="O17" s="457">
        <f>2310+1588</f>
        <v>3898</v>
      </c>
      <c r="P17" s="17">
        <v>3714</v>
      </c>
      <c r="Q17" s="16">
        <v>3861</v>
      </c>
      <c r="R17" s="20">
        <f t="shared" si="0"/>
        <v>134794.5</v>
      </c>
    </row>
    <row r="18" spans="1:18" ht="13.5" thickBot="1" x14ac:dyDescent="0.25">
      <c r="A18" s="14">
        <v>44300</v>
      </c>
      <c r="B18" s="15">
        <f>23292-2125+1140</f>
        <v>22307</v>
      </c>
      <c r="C18" s="16">
        <f>1021+13437</f>
        <v>14458</v>
      </c>
      <c r="D18" s="17">
        <f>24552.7+672</f>
        <v>25224.7</v>
      </c>
      <c r="E18" s="16">
        <f>2804+12008</f>
        <v>14812</v>
      </c>
      <c r="F18" s="17">
        <v>16981</v>
      </c>
      <c r="G18" s="16">
        <f>500+2517</f>
        <v>3017</v>
      </c>
      <c r="H18" s="17">
        <v>19946</v>
      </c>
      <c r="I18" s="16">
        <f>400+10320</f>
        <v>10720</v>
      </c>
      <c r="J18" s="17">
        <v>11121</v>
      </c>
      <c r="K18" s="16">
        <f>2900+3188</f>
        <v>6088</v>
      </c>
      <c r="L18" s="17">
        <f>23242+487</f>
        <v>23729</v>
      </c>
      <c r="M18" s="16">
        <f>3599+5160</f>
        <v>8759</v>
      </c>
      <c r="N18" s="17">
        <v>22511</v>
      </c>
      <c r="O18" s="457">
        <v>865</v>
      </c>
      <c r="P18" s="17">
        <v>15934</v>
      </c>
      <c r="Q18" s="16">
        <v>4706</v>
      </c>
      <c r="R18" s="20">
        <f t="shared" si="0"/>
        <v>221178.7</v>
      </c>
    </row>
    <row r="19" spans="1:18" ht="13.5" thickBot="1" x14ac:dyDescent="0.25">
      <c r="A19" s="14">
        <v>44301</v>
      </c>
      <c r="B19" s="15">
        <v>46123</v>
      </c>
      <c r="C19" s="16">
        <f>2017+6579</f>
        <v>8596</v>
      </c>
      <c r="D19" s="17">
        <f>69329+3745</f>
        <v>73074</v>
      </c>
      <c r="E19" s="16">
        <f>3116+4746</f>
        <v>7862</v>
      </c>
      <c r="F19" s="17">
        <v>16486</v>
      </c>
      <c r="G19" s="16">
        <f>500+3975</f>
        <v>4475</v>
      </c>
      <c r="H19" s="17">
        <v>29903</v>
      </c>
      <c r="I19" s="16">
        <f>7047+5306</f>
        <v>12353</v>
      </c>
      <c r="J19" s="17">
        <v>19340</v>
      </c>
      <c r="K19" s="16">
        <v>5236</v>
      </c>
      <c r="L19" s="17">
        <f>40805+850</f>
        <v>41655</v>
      </c>
      <c r="M19" s="16">
        <f>13033+1205</f>
        <v>14238</v>
      </c>
      <c r="N19" s="17">
        <v>13946</v>
      </c>
      <c r="O19" s="457">
        <v>2077</v>
      </c>
      <c r="P19" s="17">
        <v>8620</v>
      </c>
      <c r="Q19" s="16">
        <v>7740</v>
      </c>
      <c r="R19" s="20">
        <f t="shared" si="0"/>
        <v>311724</v>
      </c>
    </row>
    <row r="20" spans="1:18" ht="13.5" thickBot="1" x14ac:dyDescent="0.25">
      <c r="A20" s="14">
        <v>44302</v>
      </c>
      <c r="B20" s="15">
        <f>80750+799</f>
        <v>81549</v>
      </c>
      <c r="C20" s="16">
        <f>500+14593</f>
        <v>15093</v>
      </c>
      <c r="D20" s="17">
        <f>177071+2266</f>
        <v>179337</v>
      </c>
      <c r="E20" s="16">
        <f>2798+17673</f>
        <v>20471</v>
      </c>
      <c r="F20" s="17">
        <v>40811</v>
      </c>
      <c r="G20" s="16">
        <f>733+3668.35</f>
        <v>4401.3500000000004</v>
      </c>
      <c r="H20" s="17">
        <f>81000+280</f>
        <v>81280</v>
      </c>
      <c r="I20" s="16">
        <f>2011+8955</f>
        <v>10966</v>
      </c>
      <c r="J20" s="17">
        <f>73931+760</f>
        <v>74691</v>
      </c>
      <c r="K20" s="16">
        <f>4128+1461</f>
        <v>5589</v>
      </c>
      <c r="L20" s="17">
        <f>109984+562</f>
        <v>110546</v>
      </c>
      <c r="M20" s="16">
        <f>5800+11031</f>
        <v>16831</v>
      </c>
      <c r="N20" s="17">
        <v>28737</v>
      </c>
      <c r="O20" s="457">
        <f>322+4879</f>
        <v>5201</v>
      </c>
      <c r="P20" s="17">
        <v>32008</v>
      </c>
      <c r="Q20" s="16">
        <v>5238</v>
      </c>
      <c r="R20" s="20">
        <f t="shared" si="0"/>
        <v>712749.35</v>
      </c>
    </row>
    <row r="21" spans="1:18" s="13" customFormat="1" ht="13.5" thickBot="1" x14ac:dyDescent="0.25">
      <c r="A21" s="14">
        <v>44303</v>
      </c>
      <c r="B21" s="8"/>
      <c r="C21" s="21"/>
      <c r="D21" s="26"/>
      <c r="E21" s="21"/>
      <c r="F21" s="26"/>
      <c r="G21" s="21"/>
      <c r="H21" s="26"/>
      <c r="I21" s="21"/>
      <c r="J21" s="26"/>
      <c r="K21" s="21"/>
      <c r="L21" s="26"/>
      <c r="M21" s="21"/>
      <c r="N21" s="26"/>
      <c r="O21" s="458"/>
      <c r="P21" s="26"/>
      <c r="Q21" s="21"/>
      <c r="R21" s="12">
        <f t="shared" si="0"/>
        <v>0</v>
      </c>
    </row>
    <row r="22" spans="1:18" ht="13.5" thickBot="1" x14ac:dyDescent="0.25">
      <c r="A22" s="14">
        <v>44304</v>
      </c>
      <c r="B22" s="15">
        <f>11872+1344</f>
        <v>13216</v>
      </c>
      <c r="C22" s="16">
        <f>2155+5809</f>
        <v>7964</v>
      </c>
      <c r="D22" s="15">
        <f>2099+474</f>
        <v>2573</v>
      </c>
      <c r="E22" s="16">
        <f>6261+8931</f>
        <v>15192</v>
      </c>
      <c r="F22" s="17">
        <v>5572</v>
      </c>
      <c r="G22" s="16">
        <f>1700+290</f>
        <v>1990</v>
      </c>
      <c r="H22" s="17">
        <v>8489</v>
      </c>
      <c r="I22" s="16">
        <f>1791+5290</f>
        <v>7081</v>
      </c>
      <c r="J22" s="17">
        <f>6672+1450</f>
        <v>8122</v>
      </c>
      <c r="K22" s="16">
        <f>3953+3123</f>
        <v>7076</v>
      </c>
      <c r="L22" s="17">
        <v>10301</v>
      </c>
      <c r="M22" s="16">
        <f>955+5079</f>
        <v>6034</v>
      </c>
      <c r="N22" s="17">
        <v>1170</v>
      </c>
      <c r="O22" s="457">
        <v>4067</v>
      </c>
      <c r="P22" s="17">
        <f>7730+375</f>
        <v>8105</v>
      </c>
      <c r="Q22" s="16">
        <v>2881</v>
      </c>
      <c r="R22" s="20">
        <f t="shared" si="0"/>
        <v>109833</v>
      </c>
    </row>
    <row r="23" spans="1:18" ht="13.5" thickBot="1" x14ac:dyDescent="0.25">
      <c r="A23" s="14">
        <v>44305</v>
      </c>
      <c r="B23" s="15">
        <v>2804</v>
      </c>
      <c r="C23" s="16">
        <f>5256+10254</f>
        <v>15510</v>
      </c>
      <c r="D23" s="17">
        <f>9887+161+1811</f>
        <v>11859</v>
      </c>
      <c r="E23" s="16">
        <f>987+7565</f>
        <v>8552</v>
      </c>
      <c r="F23" s="17">
        <v>8556</v>
      </c>
      <c r="G23" s="16">
        <v>179</v>
      </c>
      <c r="H23" s="17">
        <v>10080</v>
      </c>
      <c r="I23" s="16">
        <f>2750+4517</f>
        <v>7267</v>
      </c>
      <c r="J23" s="17">
        <v>7996</v>
      </c>
      <c r="K23" s="16">
        <v>1485</v>
      </c>
      <c r="L23" s="17">
        <v>4792</v>
      </c>
      <c r="M23" s="16">
        <f>1978+3866</f>
        <v>5844</v>
      </c>
      <c r="N23" s="28">
        <v>3670</v>
      </c>
      <c r="O23" s="459">
        <v>1375</v>
      </c>
      <c r="P23" s="17">
        <v>1789</v>
      </c>
      <c r="Q23" s="16">
        <v>2281</v>
      </c>
      <c r="R23" s="20">
        <f t="shared" si="0"/>
        <v>94039</v>
      </c>
    </row>
    <row r="24" spans="1:18" ht="13.5" thickBot="1" x14ac:dyDescent="0.25">
      <c r="A24" s="14">
        <v>44306</v>
      </c>
      <c r="B24" s="15">
        <v>10065</v>
      </c>
      <c r="C24" s="16">
        <f>1471+12588</f>
        <v>14059</v>
      </c>
      <c r="D24" s="15">
        <v>23199</v>
      </c>
      <c r="E24" s="16">
        <f>3482+9163</f>
        <v>12645</v>
      </c>
      <c r="F24" s="17">
        <v>11641</v>
      </c>
      <c r="G24" s="16">
        <f>1895+3624</f>
        <v>5519</v>
      </c>
      <c r="H24" s="17">
        <f>19731+399</f>
        <v>20130</v>
      </c>
      <c r="I24" s="16">
        <f>1512+6709</f>
        <v>8221</v>
      </c>
      <c r="J24" s="17">
        <f>9862+2743</f>
        <v>12605</v>
      </c>
      <c r="K24" s="16">
        <f>1505+3462</f>
        <v>4967</v>
      </c>
      <c r="L24" s="17">
        <v>27578</v>
      </c>
      <c r="M24" s="16">
        <f>2573+8079</f>
        <v>10652</v>
      </c>
      <c r="N24" s="17">
        <v>13930</v>
      </c>
      <c r="O24" s="460">
        <f>411+5436</f>
        <v>5847</v>
      </c>
      <c r="P24" s="17"/>
      <c r="Q24" s="16">
        <v>2536</v>
      </c>
      <c r="R24" s="20">
        <f t="shared" si="0"/>
        <v>183594</v>
      </c>
    </row>
    <row r="25" spans="1:18" ht="13.5" thickBot="1" x14ac:dyDescent="0.25">
      <c r="A25" s="14">
        <v>44307</v>
      </c>
      <c r="B25" s="15">
        <f>32352+1275</f>
        <v>33627</v>
      </c>
      <c r="C25" s="16">
        <f>300+6531</f>
        <v>6831</v>
      </c>
      <c r="D25" s="17">
        <v>32237</v>
      </c>
      <c r="E25" s="16">
        <f>929+3918</f>
        <v>4847</v>
      </c>
      <c r="F25" s="17">
        <v>12628</v>
      </c>
      <c r="G25" s="16">
        <f>100+5806</f>
        <v>5906</v>
      </c>
      <c r="H25" s="17">
        <f>17712+1947</f>
        <v>19659</v>
      </c>
      <c r="I25" s="16">
        <f>966+5760</f>
        <v>6726</v>
      </c>
      <c r="J25" s="17">
        <v>6979</v>
      </c>
      <c r="K25" s="16">
        <f>3322+6615</f>
        <v>9937</v>
      </c>
      <c r="L25" s="17">
        <v>30677</v>
      </c>
      <c r="M25" s="16">
        <f>776+4317</f>
        <v>5093</v>
      </c>
      <c r="N25" s="17">
        <v>5748</v>
      </c>
      <c r="O25" s="457">
        <f>3415+2043</f>
        <v>5458</v>
      </c>
      <c r="P25" s="17">
        <v>17654</v>
      </c>
      <c r="Q25" s="16">
        <v>5839</v>
      </c>
      <c r="R25" s="20">
        <f t="shared" si="0"/>
        <v>209846</v>
      </c>
    </row>
    <row r="26" spans="1:18" ht="13.5" thickBot="1" x14ac:dyDescent="0.25">
      <c r="A26" s="14">
        <v>44308</v>
      </c>
      <c r="B26" s="15">
        <v>38219</v>
      </c>
      <c r="C26" s="16">
        <f>5579+14697</f>
        <v>20276</v>
      </c>
      <c r="D26" s="17">
        <f>42678+1160</f>
        <v>43838</v>
      </c>
      <c r="E26" s="16">
        <f>16439+5128</f>
        <v>21567</v>
      </c>
      <c r="F26" s="17">
        <v>7839</v>
      </c>
      <c r="G26" s="16">
        <v>4437</v>
      </c>
      <c r="H26" s="17">
        <f>27434+2396</f>
        <v>29830</v>
      </c>
      <c r="I26" s="16">
        <f>10405+8555</f>
        <v>18960</v>
      </c>
      <c r="J26" s="17">
        <f>22362+432</f>
        <v>22794</v>
      </c>
      <c r="K26" s="16">
        <f>2088+2438</f>
        <v>4526</v>
      </c>
      <c r="L26" s="17">
        <f>34896+294</f>
        <v>35190</v>
      </c>
      <c r="M26" s="16">
        <f>15323+283</f>
        <v>15606</v>
      </c>
      <c r="N26" s="17">
        <v>11302</v>
      </c>
      <c r="O26" s="457">
        <v>6617</v>
      </c>
      <c r="P26" s="17">
        <v>10800</v>
      </c>
      <c r="Q26" s="16">
        <v>4651</v>
      </c>
      <c r="R26" s="20">
        <f t="shared" si="0"/>
        <v>296452</v>
      </c>
    </row>
    <row r="27" spans="1:18" ht="13.5" thickBot="1" x14ac:dyDescent="0.25">
      <c r="A27" s="14">
        <v>44309</v>
      </c>
      <c r="B27" s="15">
        <v>31936</v>
      </c>
      <c r="C27" s="16">
        <f>1426+17130</f>
        <v>18556</v>
      </c>
      <c r="D27" s="17">
        <f>16525+1872</f>
        <v>18397</v>
      </c>
      <c r="E27" s="16">
        <f>5164+17102</f>
        <v>22266</v>
      </c>
      <c r="F27" s="17">
        <v>28722</v>
      </c>
      <c r="G27" s="16">
        <f>2490+6658</f>
        <v>9148</v>
      </c>
      <c r="H27" s="17">
        <f>32731+768</f>
        <v>33499</v>
      </c>
      <c r="I27" s="16">
        <f>5340+300</f>
        <v>5640</v>
      </c>
      <c r="J27" s="17">
        <v>25253</v>
      </c>
      <c r="K27" s="16">
        <f>2793+4893</f>
        <v>7686</v>
      </c>
      <c r="L27" s="17">
        <f>59987+882</f>
        <v>60869</v>
      </c>
      <c r="M27" s="16">
        <f>8340+15020</f>
        <v>23360</v>
      </c>
      <c r="N27" s="17">
        <v>17400</v>
      </c>
      <c r="O27" s="457">
        <f>17052+150</f>
        <v>17202</v>
      </c>
      <c r="P27" s="17">
        <v>26341</v>
      </c>
      <c r="Q27" s="16">
        <v>11835</v>
      </c>
      <c r="R27" s="20">
        <f t="shared" si="0"/>
        <v>358110</v>
      </c>
    </row>
    <row r="28" spans="1:18" s="13" customFormat="1" ht="13.5" thickBot="1" x14ac:dyDescent="0.25">
      <c r="A28" s="14">
        <v>44310</v>
      </c>
      <c r="B28" s="8"/>
      <c r="C28" s="21"/>
      <c r="D28" s="26"/>
      <c r="E28" s="21"/>
      <c r="F28" s="26"/>
      <c r="G28" s="21"/>
      <c r="H28" s="26"/>
      <c r="I28" s="21"/>
      <c r="J28" s="26"/>
      <c r="K28" s="21"/>
      <c r="L28" s="26"/>
      <c r="M28" s="21"/>
      <c r="N28" s="26"/>
      <c r="O28" s="458"/>
      <c r="P28" s="26"/>
      <c r="Q28" s="21"/>
      <c r="R28" s="12">
        <f>SUM(B28:Q28)</f>
        <v>0</v>
      </c>
    </row>
    <row r="29" spans="1:18" ht="13.5" thickBot="1" x14ac:dyDescent="0.25">
      <c r="A29" s="14">
        <v>44311</v>
      </c>
      <c r="B29" s="15">
        <v>9544</v>
      </c>
      <c r="C29" s="16">
        <f>1692+8389</f>
        <v>10081</v>
      </c>
      <c r="D29" s="17">
        <f>25623+2122</f>
        <v>27745</v>
      </c>
      <c r="E29" s="16">
        <f>1495+1373</f>
        <v>2868</v>
      </c>
      <c r="F29" s="17"/>
      <c r="G29" s="16">
        <v>9179</v>
      </c>
      <c r="H29" s="17">
        <v>8834</v>
      </c>
      <c r="I29" s="16">
        <f>4736+3225</f>
        <v>7961</v>
      </c>
      <c r="J29" s="17">
        <v>15484</v>
      </c>
      <c r="K29" s="16">
        <f>1600+5081</f>
        <v>6681</v>
      </c>
      <c r="L29" s="17">
        <v>14860</v>
      </c>
      <c r="M29" s="16">
        <f>2598+2640</f>
        <v>5238</v>
      </c>
      <c r="N29" s="17">
        <v>4382</v>
      </c>
      <c r="O29" s="457">
        <v>7506</v>
      </c>
      <c r="P29" s="17">
        <v>4585</v>
      </c>
      <c r="Q29" s="16">
        <v>4378</v>
      </c>
      <c r="R29" s="20">
        <f t="shared" si="0"/>
        <v>139326</v>
      </c>
    </row>
    <row r="30" spans="1:18" ht="13.5" thickBot="1" x14ac:dyDescent="0.25">
      <c r="A30" s="14">
        <v>44312</v>
      </c>
      <c r="B30" s="15">
        <f>10529+250+1450</f>
        <v>12229</v>
      </c>
      <c r="C30" s="16">
        <f>5355+19114</f>
        <v>24469</v>
      </c>
      <c r="D30" s="17">
        <f>15001+3940</f>
        <v>18941</v>
      </c>
      <c r="E30" s="16">
        <f>3480+3466</f>
        <v>6946</v>
      </c>
      <c r="F30" s="17">
        <v>12422</v>
      </c>
      <c r="G30" s="16">
        <f>1690+3814</f>
        <v>5504</v>
      </c>
      <c r="H30" s="17">
        <v>17857</v>
      </c>
      <c r="I30" s="16">
        <f>865+5761</f>
        <v>6626</v>
      </c>
      <c r="J30" s="17">
        <v>11574</v>
      </c>
      <c r="K30" s="16">
        <v>1145</v>
      </c>
      <c r="L30" s="17">
        <f>19925+2650</f>
        <v>22575</v>
      </c>
      <c r="M30" s="16">
        <f>1170+5636</f>
        <v>6806</v>
      </c>
      <c r="N30" s="17">
        <v>300</v>
      </c>
      <c r="O30" s="457">
        <v>2312</v>
      </c>
      <c r="P30" s="17">
        <v>11926</v>
      </c>
      <c r="Q30" s="16">
        <v>6079</v>
      </c>
      <c r="R30" s="20">
        <f t="shared" si="0"/>
        <v>167711</v>
      </c>
    </row>
    <row r="31" spans="1:18" ht="13.5" thickBot="1" x14ac:dyDescent="0.25">
      <c r="A31" s="14">
        <v>44313</v>
      </c>
      <c r="B31" s="15">
        <v>17193</v>
      </c>
      <c r="C31" s="16">
        <f>4670+11502</f>
        <v>16172</v>
      </c>
      <c r="D31" s="17">
        <f>27247+1106</f>
        <v>28353</v>
      </c>
      <c r="E31" s="16">
        <f>5220+5301</f>
        <v>10521</v>
      </c>
      <c r="F31" s="17">
        <f>17035+4176</f>
        <v>21211</v>
      </c>
      <c r="G31" s="16">
        <f>690+319</f>
        <v>1009</v>
      </c>
      <c r="H31" s="17">
        <v>18282</v>
      </c>
      <c r="I31" s="16">
        <f>1645+5848</f>
        <v>7493</v>
      </c>
      <c r="J31" s="17">
        <v>7340</v>
      </c>
      <c r="K31" s="16">
        <f>4990+5762</f>
        <v>10752</v>
      </c>
      <c r="L31" s="17">
        <v>30460</v>
      </c>
      <c r="M31" s="16">
        <f>4346+1188</f>
        <v>5534</v>
      </c>
      <c r="N31" s="17">
        <v>9993</v>
      </c>
      <c r="O31" s="457">
        <f>1280+6677</f>
        <v>7957</v>
      </c>
      <c r="P31" s="17">
        <v>13137</v>
      </c>
      <c r="Q31" s="16">
        <v>6339</v>
      </c>
      <c r="R31" s="20">
        <f t="shared" si="0"/>
        <v>211746</v>
      </c>
    </row>
    <row r="32" spans="1:18" ht="13.5" thickBot="1" x14ac:dyDescent="0.25">
      <c r="A32" s="14">
        <v>44314</v>
      </c>
      <c r="B32" s="15">
        <v>55306</v>
      </c>
      <c r="C32" s="16">
        <f>900+10286</f>
        <v>11186</v>
      </c>
      <c r="D32" s="17">
        <f>47153+2734</f>
        <v>49887</v>
      </c>
      <c r="E32" s="16">
        <f>16205+1747</f>
        <v>17952</v>
      </c>
      <c r="F32" s="17">
        <v>18472</v>
      </c>
      <c r="G32" s="16">
        <f>200+2669</f>
        <v>2869</v>
      </c>
      <c r="H32" s="17">
        <f>25185+1784+274</f>
        <v>27243</v>
      </c>
      <c r="I32" s="16">
        <f>3401+12841</f>
        <v>16242</v>
      </c>
      <c r="J32" s="17">
        <v>28601</v>
      </c>
      <c r="K32" s="16">
        <f>4646+3022</f>
        <v>7668</v>
      </c>
      <c r="L32" s="17">
        <f>30670+4176</f>
        <v>34846</v>
      </c>
      <c r="M32" s="16">
        <f>9496+4525</f>
        <v>14021</v>
      </c>
      <c r="N32" s="17">
        <v>4461</v>
      </c>
      <c r="O32" s="457">
        <v>1960</v>
      </c>
      <c r="P32" s="17">
        <v>11841</v>
      </c>
      <c r="Q32" s="16">
        <v>4036</v>
      </c>
      <c r="R32" s="20">
        <f t="shared" si="0"/>
        <v>306591</v>
      </c>
    </row>
    <row r="33" spans="1:18" ht="13.5" thickBot="1" x14ac:dyDescent="0.25">
      <c r="A33" s="14">
        <v>44315</v>
      </c>
      <c r="B33" s="15">
        <v>45555</v>
      </c>
      <c r="C33" s="16">
        <f>3185+9641</f>
        <v>12826</v>
      </c>
      <c r="D33" s="17">
        <f>38988+865</f>
        <v>39853</v>
      </c>
      <c r="E33" s="16">
        <f>10045+17238</f>
        <v>27283</v>
      </c>
      <c r="F33" s="17">
        <v>22345</v>
      </c>
      <c r="G33" s="16">
        <v>4409</v>
      </c>
      <c r="H33" s="17">
        <f>45275+512+912</f>
        <v>46699</v>
      </c>
      <c r="I33" s="16">
        <f>8329+2713</f>
        <v>11042</v>
      </c>
      <c r="J33" s="17">
        <v>23358</v>
      </c>
      <c r="K33" s="16">
        <f>1076+14643</f>
        <v>15719</v>
      </c>
      <c r="L33" s="17">
        <f>40040+2947</f>
        <v>42987</v>
      </c>
      <c r="M33" s="16">
        <f>6512+3668</f>
        <v>10180</v>
      </c>
      <c r="N33" s="17">
        <v>18546</v>
      </c>
      <c r="O33" s="457">
        <f>3777+15549</f>
        <v>19326</v>
      </c>
      <c r="P33" s="17">
        <v>8160</v>
      </c>
      <c r="Q33" s="16">
        <v>4322</v>
      </c>
      <c r="R33" s="20">
        <f t="shared" si="0"/>
        <v>352610</v>
      </c>
    </row>
    <row r="34" spans="1:18" ht="13.5" thickBot="1" x14ac:dyDescent="0.25">
      <c r="A34" s="14">
        <v>44316</v>
      </c>
      <c r="B34" s="15">
        <f>56141+268+2587</f>
        <v>58996</v>
      </c>
      <c r="C34" s="16">
        <f>2850+24505</f>
        <v>27355</v>
      </c>
      <c r="D34" s="17">
        <f>81966+4623</f>
        <v>86589</v>
      </c>
      <c r="E34" s="16">
        <f>10071+21816</f>
        <v>31887</v>
      </c>
      <c r="F34" s="17">
        <v>21216</v>
      </c>
      <c r="G34" s="16">
        <f>500+17031</f>
        <v>17531</v>
      </c>
      <c r="H34" s="17">
        <f>27267+600+4628</f>
        <v>32495</v>
      </c>
      <c r="I34" s="16">
        <f>895+20639</f>
        <v>21534</v>
      </c>
      <c r="J34" s="17">
        <v>43994</v>
      </c>
      <c r="K34" s="16">
        <f>1052+11761</f>
        <v>12813</v>
      </c>
      <c r="L34" s="17">
        <f>71051+1558</f>
        <v>72609</v>
      </c>
      <c r="M34" s="16">
        <f>7454+10722</f>
        <v>18176</v>
      </c>
      <c r="N34" s="17">
        <v>18024</v>
      </c>
      <c r="O34" s="457">
        <f>1133+9256</f>
        <v>10389</v>
      </c>
      <c r="P34" s="17">
        <v>25454</v>
      </c>
      <c r="Q34" s="16">
        <v>8149</v>
      </c>
      <c r="R34" s="20">
        <f t="shared" si="0"/>
        <v>507211</v>
      </c>
    </row>
    <row r="35" spans="1:18" ht="13.5" thickBot="1" x14ac:dyDescent="0.25">
      <c r="A35" s="14"/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457"/>
      <c r="P35" s="17"/>
      <c r="Q35" s="16"/>
      <c r="R35" s="20">
        <f t="shared" si="0"/>
        <v>0</v>
      </c>
    </row>
    <row r="36" spans="1:18" ht="13.5" thickBot="1" x14ac:dyDescent="0.25">
      <c r="A36" s="317" t="s">
        <v>8</v>
      </c>
      <c r="B36" s="318">
        <f>SUM(B5:B35)</f>
        <v>681999</v>
      </c>
      <c r="C36" s="319">
        <f t="shared" ref="C36:P36" si="1">SUM(C5:C35)</f>
        <v>413232</v>
      </c>
      <c r="D36" s="318">
        <f t="shared" si="1"/>
        <v>996921.7</v>
      </c>
      <c r="E36" s="319">
        <f t="shared" si="1"/>
        <v>413893</v>
      </c>
      <c r="F36" s="318">
        <f t="shared" si="1"/>
        <v>363233.95</v>
      </c>
      <c r="G36" s="319">
        <f t="shared" si="1"/>
        <v>123835.85</v>
      </c>
      <c r="H36" s="318">
        <f t="shared" si="1"/>
        <v>619497</v>
      </c>
      <c r="I36" s="319">
        <f t="shared" si="1"/>
        <v>296010</v>
      </c>
      <c r="J36" s="318">
        <f t="shared" si="1"/>
        <v>504165.8</v>
      </c>
      <c r="K36" s="319">
        <f t="shared" si="1"/>
        <v>203725</v>
      </c>
      <c r="L36" s="320">
        <f t="shared" si="1"/>
        <v>793714</v>
      </c>
      <c r="M36" s="321">
        <f t="shared" si="1"/>
        <v>283314</v>
      </c>
      <c r="N36" s="320">
        <f t="shared" si="1"/>
        <v>314070</v>
      </c>
      <c r="O36" s="461">
        <f t="shared" si="1"/>
        <v>151679</v>
      </c>
      <c r="P36" s="462">
        <f t="shared" si="1"/>
        <v>294405</v>
      </c>
      <c r="Q36" s="463">
        <f>SUM(Q5:Q35)</f>
        <v>146659</v>
      </c>
      <c r="R36" s="464"/>
    </row>
    <row r="37" spans="1:18" ht="13.5" thickBot="1" x14ac:dyDescent="0.25">
      <c r="A37" s="42"/>
      <c r="B37" s="43" t="s">
        <v>101</v>
      </c>
      <c r="C37" s="44">
        <f>+B36+C36</f>
        <v>1095231</v>
      </c>
      <c r="D37" s="45" t="s">
        <v>101</v>
      </c>
      <c r="E37" s="46">
        <f>+D36+E36</f>
        <v>1410814.7</v>
      </c>
      <c r="F37" s="47" t="s">
        <v>101</v>
      </c>
      <c r="G37" s="48">
        <f>+F36+G36</f>
        <v>487069.80000000005</v>
      </c>
      <c r="H37" s="49" t="s">
        <v>101</v>
      </c>
      <c r="I37" s="44">
        <f>+H36+I36</f>
        <v>915507</v>
      </c>
      <c r="J37" s="47" t="s">
        <v>101</v>
      </c>
      <c r="K37" s="48">
        <f>+J36+K36</f>
        <v>707890.8</v>
      </c>
      <c r="L37" s="50" t="s">
        <v>101</v>
      </c>
      <c r="M37" s="50">
        <f>+L36+M36</f>
        <v>1077028</v>
      </c>
      <c r="N37" s="45" t="s">
        <v>101</v>
      </c>
      <c r="O37" s="495">
        <f>+N36+O36</f>
        <v>465749</v>
      </c>
      <c r="P37" s="496" t="s">
        <v>101</v>
      </c>
      <c r="Q37" s="46">
        <f>+P36+Q36</f>
        <v>441064</v>
      </c>
      <c r="R37" s="324">
        <f>SUM(R5:R35)</f>
        <v>6600354.3000000007</v>
      </c>
    </row>
    <row r="38" spans="1:18" ht="13.5" thickBot="1" x14ac:dyDescent="0.25">
      <c r="A38" s="494" t="s">
        <v>116</v>
      </c>
      <c r="B38" s="497">
        <f>+B36/C37*100</f>
        <v>62.269877313553032</v>
      </c>
      <c r="C38" s="498">
        <f>+C36/C37*100</f>
        <v>37.730122686446968</v>
      </c>
      <c r="D38" s="498">
        <f>+D36/E37*100</f>
        <v>70.662837578882602</v>
      </c>
      <c r="E38" s="498">
        <f>+E36/E37*100</f>
        <v>29.337162421117384</v>
      </c>
      <c r="F38" s="498">
        <f>+F36/G37*100</f>
        <v>74.575338072695118</v>
      </c>
      <c r="G38" s="498">
        <f>+G36/G37*100</f>
        <v>25.424661927304875</v>
      </c>
      <c r="H38" s="498">
        <f>+H36/I37*100</f>
        <v>67.667095937005399</v>
      </c>
      <c r="I38" s="498">
        <f>+I36/I37*100</f>
        <v>32.332904062994608</v>
      </c>
      <c r="J38" s="498">
        <f>+J36/K37*100</f>
        <v>71.22084366684804</v>
      </c>
      <c r="K38" s="498">
        <f>+K36/K37*100</f>
        <v>28.779156333151946</v>
      </c>
      <c r="L38" s="498">
        <f>+L36/M37*100</f>
        <v>73.694834303286456</v>
      </c>
      <c r="M38" s="498">
        <f>+M36/M37*100</f>
        <v>26.305165696713551</v>
      </c>
      <c r="N38" s="498">
        <f>+N36/O37*100</f>
        <v>67.433317087100562</v>
      </c>
      <c r="O38" s="498">
        <f>+O36/O37*100</f>
        <v>32.566682912899438</v>
      </c>
      <c r="P38" s="498"/>
      <c r="Q38" s="499"/>
    </row>
    <row r="39" spans="1:18" ht="13.5" thickBot="1" x14ac:dyDescent="0.25">
      <c r="A39" s="56" t="s">
        <v>17</v>
      </c>
      <c r="B39" s="57"/>
      <c r="C39" s="58">
        <f>C37/R37</f>
        <v>0.16593518320675602</v>
      </c>
      <c r="D39" s="58"/>
      <c r="E39" s="58">
        <f>E37/R37</f>
        <v>0.21374832863138873</v>
      </c>
      <c r="F39" s="58"/>
      <c r="G39" s="58">
        <f>G37/R37</f>
        <v>7.3794493122891908E-2</v>
      </c>
      <c r="H39" s="58"/>
      <c r="I39" s="58">
        <f>I37/R37</f>
        <v>0.13870573584208956</v>
      </c>
      <c r="J39" s="58"/>
      <c r="K39" s="58">
        <f>K37/R37</f>
        <v>0.10725042442039816</v>
      </c>
      <c r="L39" s="58"/>
      <c r="M39" s="58">
        <f>M37/R37</f>
        <v>0.16317730095185948</v>
      </c>
      <c r="N39" s="58"/>
      <c r="O39" s="58">
        <f>+O37/R37</f>
        <v>7.0564242286205753E-2</v>
      </c>
      <c r="P39" s="58"/>
      <c r="Q39" s="58"/>
      <c r="R39" s="59">
        <f>R37/R37</f>
        <v>1</v>
      </c>
    </row>
    <row r="40" spans="1:18" ht="13.5" thickBot="1" x14ac:dyDescent="0.25">
      <c r="A40" s="60" t="s">
        <v>18</v>
      </c>
      <c r="B40" s="61"/>
      <c r="C40" s="62">
        <f>C37/25</f>
        <v>43809.24</v>
      </c>
      <c r="D40" s="62"/>
      <c r="E40" s="62">
        <f t="shared" ref="E40:O40" si="2">E37/26</f>
        <v>54262.103846153841</v>
      </c>
      <c r="F40" s="62"/>
      <c r="G40" s="62">
        <f t="shared" si="2"/>
        <v>18733.453846153847</v>
      </c>
      <c r="H40" s="62"/>
      <c r="I40" s="62">
        <f t="shared" si="2"/>
        <v>35211.807692307695</v>
      </c>
      <c r="J40" s="62"/>
      <c r="K40" s="62">
        <f t="shared" si="2"/>
        <v>27226.569230769233</v>
      </c>
      <c r="L40" s="62"/>
      <c r="M40" s="62">
        <f t="shared" si="2"/>
        <v>41424.153846153844</v>
      </c>
      <c r="N40" s="62"/>
      <c r="O40" s="62">
        <f t="shared" si="2"/>
        <v>17913.423076923078</v>
      </c>
      <c r="P40" s="62"/>
      <c r="Q40" s="62"/>
      <c r="R40" s="334">
        <f>R37/25</f>
        <v>264014.17200000002</v>
      </c>
    </row>
    <row r="41" spans="1:18" ht="16.5" thickBot="1" x14ac:dyDescent="0.3">
      <c r="C41" s="64"/>
      <c r="D41" s="64"/>
      <c r="E41" s="64"/>
      <c r="F41" s="65"/>
      <c r="G41" s="65"/>
      <c r="H41" s="65"/>
      <c r="I41" s="65"/>
      <c r="J41" s="65"/>
      <c r="K41" s="65"/>
      <c r="L41" s="65"/>
      <c r="M41" s="65"/>
      <c r="N41" s="66"/>
      <c r="O41" s="66"/>
      <c r="P41" s="66"/>
      <c r="Q41" s="666" t="s">
        <v>108</v>
      </c>
      <c r="R41" s="667"/>
    </row>
    <row r="42" spans="1:18" ht="13.5" thickBot="1" x14ac:dyDescent="0.25">
      <c r="A42" s="335" t="s">
        <v>111</v>
      </c>
      <c r="B42" s="336"/>
      <c r="C42" s="468">
        <f>462+678</f>
        <v>1140</v>
      </c>
      <c r="D42" s="468"/>
      <c r="E42" s="468">
        <f>394+1242</f>
        <v>1636</v>
      </c>
      <c r="F42" s="468"/>
      <c r="G42" s="468">
        <f>142+395</f>
        <v>537</v>
      </c>
      <c r="H42" s="468"/>
      <c r="I42" s="468">
        <f>344+731</f>
        <v>1075</v>
      </c>
      <c r="J42" s="468"/>
      <c r="K42" s="468">
        <f>648+194</f>
        <v>842</v>
      </c>
      <c r="L42" s="469"/>
      <c r="M42" s="469">
        <f>259+880</f>
        <v>1139</v>
      </c>
      <c r="N42" s="469"/>
      <c r="O42" s="469"/>
      <c r="P42" s="470"/>
      <c r="Q42" s="492" t="s">
        <v>114</v>
      </c>
      <c r="R42" s="476">
        <f>+M42+K42+I42+G42+E42+C42</f>
        <v>6369</v>
      </c>
    </row>
    <row r="43" spans="1:18" ht="13.5" thickBot="1" x14ac:dyDescent="0.25">
      <c r="A43" s="479" t="s">
        <v>110</v>
      </c>
      <c r="B43" s="480"/>
      <c r="C43" s="481">
        <f>404+564</f>
        <v>968</v>
      </c>
      <c r="D43" s="481"/>
      <c r="E43" s="481">
        <f>403+974</f>
        <v>1377</v>
      </c>
      <c r="F43" s="481"/>
      <c r="G43" s="481">
        <f>171+317</f>
        <v>488</v>
      </c>
      <c r="H43" s="481"/>
      <c r="I43" s="481">
        <f>337+577</f>
        <v>914</v>
      </c>
      <c r="J43" s="481"/>
      <c r="K43" s="481">
        <f>490+189</f>
        <v>679</v>
      </c>
      <c r="L43" s="482"/>
      <c r="M43" s="482">
        <f>246+701</f>
        <v>947</v>
      </c>
      <c r="N43" s="482"/>
      <c r="O43" s="482"/>
      <c r="P43" s="474"/>
      <c r="Q43" s="492" t="s">
        <v>113</v>
      </c>
      <c r="R43" s="476">
        <f>+M43+K43+I43+G43+E43+C43</f>
        <v>5373</v>
      </c>
    </row>
    <row r="44" spans="1:18" ht="13.5" thickBot="1" x14ac:dyDescent="0.25">
      <c r="A44" s="74" t="s">
        <v>20</v>
      </c>
      <c r="B44" s="75"/>
      <c r="C44" s="475">
        <f>+C37/C43</f>
        <v>1131.4369834710744</v>
      </c>
      <c r="D44" s="475"/>
      <c r="E44" s="475">
        <f>+E37/E43</f>
        <v>1024.5567901234567</v>
      </c>
      <c r="F44" s="475"/>
      <c r="G44" s="475">
        <f>+G37/G43</f>
        <v>998.09385245901649</v>
      </c>
      <c r="H44" s="475"/>
      <c r="I44" s="475">
        <f>+I37/I43</f>
        <v>1001.6487964989059</v>
      </c>
      <c r="J44" s="475"/>
      <c r="K44" s="475">
        <f>+K37/K43</f>
        <v>1042.5490427098675</v>
      </c>
      <c r="L44" s="475"/>
      <c r="M44" s="475">
        <f>+M37/M43</f>
        <v>1137.3051742344244</v>
      </c>
      <c r="N44" s="475"/>
      <c r="O44" s="471" t="e">
        <f>+O37/O43</f>
        <v>#DIV/0!</v>
      </c>
      <c r="P44" s="472"/>
      <c r="Q44" s="492" t="s">
        <v>109</v>
      </c>
      <c r="R44" s="477">
        <f>+R37/R42</f>
        <v>1036.3250588789449</v>
      </c>
    </row>
    <row r="45" spans="1:18" ht="13.5" thickBot="1" x14ac:dyDescent="0.25">
      <c r="A45" s="79" t="s">
        <v>112</v>
      </c>
      <c r="B45" s="79"/>
      <c r="C45" s="485">
        <f>+C42/C43</f>
        <v>1.1776859504132231</v>
      </c>
      <c r="D45" s="473"/>
      <c r="E45" s="485">
        <f>+E42/E43</f>
        <v>1.1880900508351488</v>
      </c>
      <c r="F45" s="473"/>
      <c r="G45" s="485">
        <f>+G42/G43</f>
        <v>1.1004098360655739</v>
      </c>
      <c r="H45" s="473"/>
      <c r="I45" s="485">
        <f>+I42/I43</f>
        <v>1.1761487964989059</v>
      </c>
      <c r="J45" s="473"/>
      <c r="K45" s="485">
        <f>+K42/K43</f>
        <v>1.240058910162003</v>
      </c>
      <c r="L45" s="474"/>
      <c r="M45" s="485">
        <f>+M42/M43</f>
        <v>1.2027455121436115</v>
      </c>
      <c r="N45" s="473"/>
      <c r="O45" s="473"/>
      <c r="P45" s="473"/>
      <c r="Q45" s="493" t="s">
        <v>115</v>
      </c>
      <c r="R45" s="486">
        <f>+R42/R43</f>
        <v>1.1853713009491904</v>
      </c>
    </row>
    <row r="46" spans="1:18" s="491" customFormat="1" ht="7.5" customHeight="1" x14ac:dyDescent="0.2">
      <c r="A46" s="487"/>
      <c r="B46" s="487"/>
      <c r="C46" s="488"/>
      <c r="D46" s="488"/>
      <c r="E46" s="488"/>
      <c r="F46" s="488"/>
      <c r="G46" s="488"/>
      <c r="H46" s="488"/>
      <c r="I46" s="488"/>
      <c r="J46" s="488"/>
      <c r="K46" s="488"/>
      <c r="L46" s="489"/>
      <c r="M46" s="488"/>
      <c r="N46" s="488"/>
      <c r="O46" s="488"/>
      <c r="P46" s="488"/>
      <c r="Q46" s="490"/>
      <c r="R46" s="488"/>
    </row>
    <row r="47" spans="1:18" x14ac:dyDescent="0.2">
      <c r="A47" s="651" t="s">
        <v>101</v>
      </c>
      <c r="B47" s="651"/>
      <c r="C47" s="500" t="s">
        <v>22</v>
      </c>
      <c r="F47" s="652" t="s">
        <v>101</v>
      </c>
      <c r="G47" s="652"/>
      <c r="H47" s="506" t="s">
        <v>22</v>
      </c>
      <c r="K47" s="653" t="s">
        <v>24</v>
      </c>
      <c r="L47" s="653"/>
      <c r="M47" s="85" t="s">
        <v>22</v>
      </c>
      <c r="Q47" s="80"/>
      <c r="R47" s="82"/>
    </row>
    <row r="48" spans="1:18" x14ac:dyDescent="0.2">
      <c r="A48" s="501" t="s">
        <v>25</v>
      </c>
      <c r="B48" s="503">
        <f>+C36+E36+I36+O36</f>
        <v>1274814</v>
      </c>
      <c r="C48" s="505">
        <f>+(B48/B50)*100</f>
        <v>32.794315913272179</v>
      </c>
      <c r="F48" s="507" t="s">
        <v>26</v>
      </c>
      <c r="G48" s="508">
        <f>+G36+K36+M36</f>
        <v>610874.85</v>
      </c>
      <c r="H48" s="509">
        <f>+(G48/G50)*100</f>
        <v>26.887232180654426</v>
      </c>
      <c r="K48" s="85" t="s">
        <v>26</v>
      </c>
      <c r="L48" s="88">
        <f>+B48+G48</f>
        <v>1885688.85</v>
      </c>
      <c r="M48" s="88">
        <f>+L48/L50*100</f>
        <v>30.615359207861982</v>
      </c>
    </row>
    <row r="49" spans="1:13" x14ac:dyDescent="0.2">
      <c r="A49" s="501" t="s">
        <v>27</v>
      </c>
      <c r="B49" s="503">
        <f>+B36+D36+H36+N36</f>
        <v>2612487.7000000002</v>
      </c>
      <c r="C49" s="505">
        <f>+(B49/B50)*100</f>
        <v>67.205684086727828</v>
      </c>
      <c r="F49" s="507" t="s">
        <v>28</v>
      </c>
      <c r="G49" s="508">
        <f>+F36+J36+L36</f>
        <v>1661113.75</v>
      </c>
      <c r="H49" s="509">
        <f>+(G49/G50)*100</f>
        <v>73.112767819345564</v>
      </c>
      <c r="K49" s="85" t="s">
        <v>29</v>
      </c>
      <c r="L49" s="88">
        <f>+B49+G49</f>
        <v>4273601.45</v>
      </c>
      <c r="M49" s="88">
        <f>+L49/L50*100</f>
        <v>69.384640792138015</v>
      </c>
    </row>
    <row r="50" spans="1:13" x14ac:dyDescent="0.2">
      <c r="A50" s="502"/>
      <c r="B50" s="504">
        <f>+B48+B49</f>
        <v>3887301.7</v>
      </c>
      <c r="C50" s="502"/>
      <c r="F50" s="510"/>
      <c r="G50" s="511">
        <f>+G48+G49</f>
        <v>2271988.6</v>
      </c>
      <c r="H50" s="510"/>
      <c r="K50" s="85"/>
      <c r="L50" s="88">
        <f>SUM(L48:L49)</f>
        <v>6159290.3000000007</v>
      </c>
      <c r="M50" s="85"/>
    </row>
  </sheetData>
  <mergeCells count="13">
    <mergeCell ref="C1:M1"/>
    <mergeCell ref="B3:C3"/>
    <mergeCell ref="D3:E3"/>
    <mergeCell ref="F3:G3"/>
    <mergeCell ref="H3:I3"/>
    <mergeCell ref="J3:K3"/>
    <mergeCell ref="L3:M3"/>
    <mergeCell ref="N3:O3"/>
    <mergeCell ref="P3:Q3"/>
    <mergeCell ref="A47:B47"/>
    <mergeCell ref="F47:G47"/>
    <mergeCell ref="K47:L47"/>
    <mergeCell ref="Q41:R41"/>
  </mergeCells>
  <phoneticPr fontId="55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8"/>
  <sheetViews>
    <sheetView workbookViewId="0">
      <selection activeCell="E2" sqref="E2"/>
    </sheetView>
  </sheetViews>
  <sheetFormatPr baseColWidth="10" defaultRowHeight="12.75" x14ac:dyDescent="0.2"/>
  <cols>
    <col min="1" max="2" width="11.42578125" style="512" customWidth="1"/>
    <col min="3" max="3" width="13.28515625" style="512" bestFit="1" customWidth="1"/>
    <col min="4" max="4" width="11.42578125" style="512" customWidth="1"/>
    <col min="5" max="5" width="13.28515625" style="512" bestFit="1" customWidth="1"/>
    <col min="6" max="12" width="11.42578125" style="512" customWidth="1"/>
    <col min="13" max="13" width="13.28515625" style="512" bestFit="1" customWidth="1"/>
    <col min="14" max="17" width="11.42578125" style="512" customWidth="1"/>
    <col min="18" max="18" width="13.28515625" style="512" bestFit="1" customWidth="1"/>
    <col min="19" max="16384" width="11.42578125" style="512"/>
  </cols>
  <sheetData>
    <row r="1" spans="1:18" x14ac:dyDescent="0.2">
      <c r="C1" s="669" t="s">
        <v>160</v>
      </c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513"/>
      <c r="O1" s="513"/>
      <c r="P1" s="513"/>
      <c r="Q1" s="513"/>
    </row>
    <row r="2" spans="1:18" ht="13.5" thickBot="1" x14ac:dyDescent="0.25"/>
    <row r="3" spans="1:18" ht="16.5" thickBot="1" x14ac:dyDescent="0.3">
      <c r="A3" s="514" t="s">
        <v>107</v>
      </c>
      <c r="B3" s="670" t="s">
        <v>143</v>
      </c>
      <c r="C3" s="671"/>
      <c r="D3" s="670" t="s">
        <v>144</v>
      </c>
      <c r="E3" s="671"/>
      <c r="F3" s="670" t="s">
        <v>145</v>
      </c>
      <c r="G3" s="671"/>
      <c r="H3" s="670" t="s">
        <v>146</v>
      </c>
      <c r="I3" s="671"/>
      <c r="J3" s="670" t="s">
        <v>147</v>
      </c>
      <c r="K3" s="671"/>
      <c r="L3" s="670" t="s">
        <v>148</v>
      </c>
      <c r="M3" s="671"/>
      <c r="N3" s="670" t="s">
        <v>149</v>
      </c>
      <c r="O3" s="671"/>
      <c r="P3" s="670" t="s">
        <v>150</v>
      </c>
      <c r="Q3" s="671"/>
      <c r="R3" s="515" t="s">
        <v>5</v>
      </c>
    </row>
    <row r="4" spans="1:18" ht="16.5" thickBot="1" x14ac:dyDescent="0.3">
      <c r="A4" s="514"/>
      <c r="B4" s="516" t="s">
        <v>6</v>
      </c>
      <c r="C4" s="517" t="s">
        <v>7</v>
      </c>
      <c r="D4" s="516" t="s">
        <v>6</v>
      </c>
      <c r="E4" s="517" t="s">
        <v>7</v>
      </c>
      <c r="F4" s="518" t="s">
        <v>6</v>
      </c>
      <c r="G4" s="519" t="s">
        <v>7</v>
      </c>
      <c r="H4" s="516" t="s">
        <v>6</v>
      </c>
      <c r="I4" s="517" t="s">
        <v>7</v>
      </c>
      <c r="J4" s="518" t="s">
        <v>6</v>
      </c>
      <c r="K4" s="519" t="s">
        <v>7</v>
      </c>
      <c r="L4" s="518" t="s">
        <v>6</v>
      </c>
      <c r="M4" s="519" t="s">
        <v>7</v>
      </c>
      <c r="N4" s="516" t="s">
        <v>6</v>
      </c>
      <c r="O4" s="520" t="s">
        <v>7</v>
      </c>
      <c r="P4" s="521" t="s">
        <v>6</v>
      </c>
      <c r="Q4" s="522" t="s">
        <v>7</v>
      </c>
      <c r="R4" s="515"/>
    </row>
    <row r="5" spans="1:18" s="532" customFormat="1" ht="13.5" thickBot="1" x14ac:dyDescent="0.25">
      <c r="A5" s="523">
        <v>42491</v>
      </c>
      <c r="B5" s="524"/>
      <c r="C5" s="525"/>
      <c r="D5" s="524"/>
      <c r="E5" s="526"/>
      <c r="F5" s="527"/>
      <c r="G5" s="526"/>
      <c r="H5" s="527"/>
      <c r="I5" s="526"/>
      <c r="J5" s="527"/>
      <c r="K5" s="526"/>
      <c r="L5" s="527"/>
      <c r="M5" s="526"/>
      <c r="N5" s="527"/>
      <c r="O5" s="528"/>
      <c r="P5" s="529"/>
      <c r="Q5" s="530"/>
      <c r="R5" s="531">
        <f>SUM(B5:Q5)</f>
        <v>0</v>
      </c>
    </row>
    <row r="6" spans="1:18" ht="13.5" thickBot="1" x14ac:dyDescent="0.25">
      <c r="A6" s="533">
        <v>44318</v>
      </c>
      <c r="B6" s="534">
        <f>5416+6343</f>
        <v>11759</v>
      </c>
      <c r="C6" s="535">
        <f>5330+7268</f>
        <v>12598</v>
      </c>
      <c r="D6" s="536">
        <f>8015+3983</f>
        <v>11998</v>
      </c>
      <c r="E6" s="537">
        <f>3705+1960</f>
        <v>5665</v>
      </c>
      <c r="F6" s="538">
        <v>7479</v>
      </c>
      <c r="G6" s="537">
        <v>8916</v>
      </c>
      <c r="H6" s="538">
        <f>6846+2912</f>
        <v>9758</v>
      </c>
      <c r="I6" s="537">
        <v>7689</v>
      </c>
      <c r="J6" s="538">
        <v>5558</v>
      </c>
      <c r="K6" s="537">
        <v>9174</v>
      </c>
      <c r="L6" s="538">
        <f>11562+109+6418</f>
        <v>18089</v>
      </c>
      <c r="M6" s="537">
        <f>300+1514</f>
        <v>1814</v>
      </c>
      <c r="N6" s="538">
        <v>2245</v>
      </c>
      <c r="O6" s="539">
        <f>1340+339</f>
        <v>1679</v>
      </c>
      <c r="P6" s="536">
        <f>6467+1125</f>
        <v>7592</v>
      </c>
      <c r="Q6" s="535">
        <v>9048</v>
      </c>
      <c r="R6" s="540">
        <f t="shared" ref="R6:R34" si="0">SUM(B6:Q6)</f>
        <v>131061</v>
      </c>
    </row>
    <row r="7" spans="1:18" ht="13.5" thickBot="1" x14ac:dyDescent="0.25">
      <c r="A7" s="533">
        <v>44319</v>
      </c>
      <c r="B7" s="534">
        <f>11348+2310</f>
        <v>13658</v>
      </c>
      <c r="C7" s="535">
        <f>2273+10291</f>
        <v>12564</v>
      </c>
      <c r="D7" s="534">
        <v>13528</v>
      </c>
      <c r="E7" s="535">
        <f>5183+6719</f>
        <v>11902</v>
      </c>
      <c r="F7" s="538">
        <f>10794+1924</f>
        <v>12718</v>
      </c>
      <c r="G7" s="537">
        <v>1530</v>
      </c>
      <c r="H7" s="538">
        <f>9537+200</f>
        <v>9737</v>
      </c>
      <c r="I7" s="537">
        <f>4589+525</f>
        <v>5114</v>
      </c>
      <c r="J7" s="538">
        <v>17149</v>
      </c>
      <c r="K7" s="537">
        <f>150+7624</f>
        <v>7774</v>
      </c>
      <c r="L7" s="538">
        <f>8388+1047+8755</f>
        <v>18190</v>
      </c>
      <c r="M7" s="537">
        <f>2550+5038</f>
        <v>7588</v>
      </c>
      <c r="N7" s="538">
        <v>4590</v>
      </c>
      <c r="O7" s="539">
        <v>2061</v>
      </c>
      <c r="P7" s="536">
        <f>3941+3864</f>
        <v>7805</v>
      </c>
      <c r="Q7" s="535">
        <v>906</v>
      </c>
      <c r="R7" s="540">
        <f t="shared" si="0"/>
        <v>146814</v>
      </c>
    </row>
    <row r="8" spans="1:18" ht="13.5" thickBot="1" x14ac:dyDescent="0.25">
      <c r="A8" s="533">
        <v>44320</v>
      </c>
      <c r="B8" s="534">
        <f>9398+532</f>
        <v>9930</v>
      </c>
      <c r="C8" s="535">
        <f>5161+12438</f>
        <v>17599</v>
      </c>
      <c r="D8" s="534">
        <f>20945+8339</f>
        <v>29284</v>
      </c>
      <c r="E8" s="535">
        <f>6466+6869</f>
        <v>13335</v>
      </c>
      <c r="F8" s="536">
        <f>13688+567</f>
        <v>14255</v>
      </c>
      <c r="G8" s="535">
        <v>378</v>
      </c>
      <c r="H8" s="538">
        <f>16017+1356</f>
        <v>17373</v>
      </c>
      <c r="I8" s="537">
        <f>2709+12916</f>
        <v>15625</v>
      </c>
      <c r="J8" s="538">
        <v>9092</v>
      </c>
      <c r="K8" s="537">
        <f>712+3434</f>
        <v>4146</v>
      </c>
      <c r="L8" s="536">
        <f>14212+3160</f>
        <v>17372</v>
      </c>
      <c r="M8" s="535">
        <f>1283+5488</f>
        <v>6771</v>
      </c>
      <c r="N8" s="536">
        <v>4837</v>
      </c>
      <c r="O8" s="539">
        <f>1120+1539</f>
        <v>2659</v>
      </c>
      <c r="P8" s="536">
        <v>11727</v>
      </c>
      <c r="Q8" s="535">
        <v>2177</v>
      </c>
      <c r="R8" s="540">
        <f t="shared" si="0"/>
        <v>176560</v>
      </c>
    </row>
    <row r="9" spans="1:18" ht="13.5" thickBot="1" x14ac:dyDescent="0.25">
      <c r="A9" s="533">
        <v>44321</v>
      </c>
      <c r="B9" s="534">
        <v>35331</v>
      </c>
      <c r="C9" s="535">
        <f>3023+19320</f>
        <v>22343</v>
      </c>
      <c r="D9" s="536">
        <f>39452+2755</f>
        <v>42207</v>
      </c>
      <c r="E9" s="535">
        <f>2201+16881</f>
        <v>19082</v>
      </c>
      <c r="F9" s="536">
        <v>12386</v>
      </c>
      <c r="G9" s="535">
        <f>50+4074</f>
        <v>4124</v>
      </c>
      <c r="H9" s="536">
        <v>36293</v>
      </c>
      <c r="I9" s="535">
        <f>1500+4260</f>
        <v>5760</v>
      </c>
      <c r="J9" s="536">
        <v>11409</v>
      </c>
      <c r="K9" s="535">
        <v>6713</v>
      </c>
      <c r="L9" s="536">
        <v>22737</v>
      </c>
      <c r="M9" s="535">
        <f>2338+9515</f>
        <v>11853</v>
      </c>
      <c r="N9" s="536">
        <v>17000</v>
      </c>
      <c r="O9" s="539">
        <f>806+1569</f>
        <v>2375</v>
      </c>
      <c r="P9" s="536">
        <v>8264</v>
      </c>
      <c r="Q9" s="535">
        <v>2390</v>
      </c>
      <c r="R9" s="540">
        <f t="shared" si="0"/>
        <v>260267</v>
      </c>
    </row>
    <row r="10" spans="1:18" ht="13.5" thickBot="1" x14ac:dyDescent="0.25">
      <c r="A10" s="533">
        <v>44322</v>
      </c>
      <c r="B10" s="534">
        <v>16629</v>
      </c>
      <c r="C10" s="535">
        <f>2545+11054</f>
        <v>13599</v>
      </c>
      <c r="D10" s="536">
        <f>48888+1953</f>
        <v>50841</v>
      </c>
      <c r="E10" s="535">
        <f>3375+25083</f>
        <v>28458</v>
      </c>
      <c r="F10" s="536">
        <f>16556+2899</f>
        <v>19455</v>
      </c>
      <c r="G10" s="535">
        <f>100+3150</f>
        <v>3250</v>
      </c>
      <c r="H10" s="536">
        <f>45700+1339</f>
        <v>47039</v>
      </c>
      <c r="I10" s="535">
        <f>560+12039</f>
        <v>12599</v>
      </c>
      <c r="J10" s="536">
        <v>24511</v>
      </c>
      <c r="K10" s="535">
        <v>5519</v>
      </c>
      <c r="L10" s="536">
        <f>28850+6360</f>
        <v>35210</v>
      </c>
      <c r="M10" s="535">
        <f>2765+15270</f>
        <v>18035</v>
      </c>
      <c r="N10" s="536">
        <v>13518</v>
      </c>
      <c r="O10" s="539">
        <f>3912+2857</f>
        <v>6769</v>
      </c>
      <c r="P10" s="536">
        <v>15354</v>
      </c>
      <c r="Q10" s="535">
        <v>13004</v>
      </c>
      <c r="R10" s="540">
        <f t="shared" si="0"/>
        <v>323790</v>
      </c>
    </row>
    <row r="11" spans="1:18" ht="13.5" thickBot="1" x14ac:dyDescent="0.25">
      <c r="A11" s="533">
        <v>44323</v>
      </c>
      <c r="B11" s="534">
        <f>64019+840</f>
        <v>64859</v>
      </c>
      <c r="C11" s="535">
        <f>6202+25393</f>
        <v>31595</v>
      </c>
      <c r="D11" s="536">
        <f>93808+1397</f>
        <v>95205</v>
      </c>
      <c r="E11" s="535">
        <f>6542+27469</f>
        <v>34011</v>
      </c>
      <c r="F11" s="536">
        <v>32776</v>
      </c>
      <c r="G11" s="535">
        <f>4052+10760</f>
        <v>14812</v>
      </c>
      <c r="H11" s="536">
        <f>45602+2400</f>
        <v>48002</v>
      </c>
      <c r="I11" s="535">
        <f>6143+18798</f>
        <v>24941</v>
      </c>
      <c r="J11" s="536">
        <v>16627</v>
      </c>
      <c r="K11" s="535">
        <f>1214+15789</f>
        <v>17003</v>
      </c>
      <c r="L11" s="536">
        <v>79880</v>
      </c>
      <c r="M11" s="535">
        <f>13060+24422</f>
        <v>37482</v>
      </c>
      <c r="N11" s="536">
        <v>26686</v>
      </c>
      <c r="O11" s="539">
        <f>3634+4616</f>
        <v>8250</v>
      </c>
      <c r="P11" s="536">
        <v>19936</v>
      </c>
      <c r="Q11" s="535">
        <v>10046</v>
      </c>
      <c r="R11" s="540">
        <f t="shared" si="0"/>
        <v>562111</v>
      </c>
    </row>
    <row r="12" spans="1:18" s="532" customFormat="1" ht="13.5" thickBot="1" x14ac:dyDescent="0.25">
      <c r="A12" s="533">
        <v>44324</v>
      </c>
      <c r="B12" s="524"/>
      <c r="C12" s="541"/>
      <c r="D12" s="542"/>
      <c r="E12" s="541"/>
      <c r="F12" s="542"/>
      <c r="G12" s="541"/>
      <c r="H12" s="542"/>
      <c r="I12" s="541"/>
      <c r="J12" s="542"/>
      <c r="K12" s="541"/>
      <c r="L12" s="542"/>
      <c r="M12" s="541"/>
      <c r="N12" s="542"/>
      <c r="O12" s="543"/>
      <c r="P12" s="542"/>
      <c r="Q12" s="541"/>
      <c r="R12" s="531">
        <f t="shared" si="0"/>
        <v>0</v>
      </c>
    </row>
    <row r="13" spans="1:18" ht="13.5" thickBot="1" x14ac:dyDescent="0.25">
      <c r="A13" s="533">
        <v>44325</v>
      </c>
      <c r="B13" s="534">
        <f>13589+347</f>
        <v>13936</v>
      </c>
      <c r="C13" s="535">
        <f>3400+8325</f>
        <v>11725</v>
      </c>
      <c r="D13" s="536">
        <v>20088</v>
      </c>
      <c r="E13" s="535">
        <f>1343+6429</f>
        <v>7772</v>
      </c>
      <c r="F13" s="536">
        <v>4609</v>
      </c>
      <c r="G13" s="535">
        <v>1266</v>
      </c>
      <c r="H13" s="536">
        <f>12159+2690</f>
        <v>14849</v>
      </c>
      <c r="I13" s="535">
        <f>834+2540</f>
        <v>3374</v>
      </c>
      <c r="J13" s="536">
        <v>6166</v>
      </c>
      <c r="K13" s="535">
        <f>405+7954</f>
        <v>8359</v>
      </c>
      <c r="L13" s="536">
        <f>8766+5291</f>
        <v>14057</v>
      </c>
      <c r="M13" s="535">
        <f>2183+5390</f>
        <v>7573</v>
      </c>
      <c r="N13" s="536">
        <v>3781</v>
      </c>
      <c r="O13" s="539">
        <f>150+434</f>
        <v>584</v>
      </c>
      <c r="P13" s="536">
        <v>10733</v>
      </c>
      <c r="Q13" s="535">
        <v>3069</v>
      </c>
      <c r="R13" s="540">
        <f t="shared" si="0"/>
        <v>131941</v>
      </c>
    </row>
    <row r="14" spans="1:18" ht="13.5" thickBot="1" x14ac:dyDescent="0.25">
      <c r="A14" s="533">
        <v>44326</v>
      </c>
      <c r="B14" s="534">
        <v>10424</v>
      </c>
      <c r="C14" s="535">
        <f>2550+17219</f>
        <v>19769</v>
      </c>
      <c r="D14" s="536">
        <f>25644+50</f>
        <v>25694</v>
      </c>
      <c r="E14" s="535">
        <f>2650+6542</f>
        <v>9192</v>
      </c>
      <c r="F14" s="536">
        <v>13329</v>
      </c>
      <c r="G14" s="535">
        <v>1501</v>
      </c>
      <c r="H14" s="536">
        <f>11723+336</f>
        <v>12059</v>
      </c>
      <c r="I14" s="535">
        <f>4088+4217</f>
        <v>8305</v>
      </c>
      <c r="J14" s="536">
        <v>13140</v>
      </c>
      <c r="K14" s="535">
        <v>7394</v>
      </c>
      <c r="L14" s="536">
        <v>17583</v>
      </c>
      <c r="M14" s="535">
        <v>7219</v>
      </c>
      <c r="N14" s="536">
        <v>6134</v>
      </c>
      <c r="O14" s="539">
        <f>5670+2824</f>
        <v>8494</v>
      </c>
      <c r="P14" s="536">
        <v>6352</v>
      </c>
      <c r="Q14" s="535">
        <v>3738</v>
      </c>
      <c r="R14" s="540">
        <f t="shared" si="0"/>
        <v>170327</v>
      </c>
    </row>
    <row r="15" spans="1:18" ht="13.5" thickBot="1" x14ac:dyDescent="0.25">
      <c r="A15" s="533">
        <v>44327</v>
      </c>
      <c r="B15" s="534">
        <v>22251</v>
      </c>
      <c r="C15" s="535">
        <f>2088+11139</f>
        <v>13227</v>
      </c>
      <c r="D15" s="536">
        <f>12775+310+1881</f>
        <v>14966</v>
      </c>
      <c r="E15" s="535">
        <f>3177+7677</f>
        <v>10854</v>
      </c>
      <c r="F15" s="536">
        <v>9683</v>
      </c>
      <c r="G15" s="535">
        <f>891+1013</f>
        <v>1904</v>
      </c>
      <c r="H15" s="536">
        <v>14646</v>
      </c>
      <c r="I15" s="535">
        <f>2202+2697+1876</f>
        <v>6775</v>
      </c>
      <c r="J15" s="536">
        <v>11639</v>
      </c>
      <c r="K15" s="535">
        <f>230+7180</f>
        <v>7410</v>
      </c>
      <c r="L15" s="536">
        <v>14197</v>
      </c>
      <c r="M15" s="535">
        <f>1142+9681</f>
        <v>10823</v>
      </c>
      <c r="N15" s="536">
        <v>10259</v>
      </c>
      <c r="O15" s="539">
        <f>2955+1619</f>
        <v>4574</v>
      </c>
      <c r="P15" s="536">
        <v>1016</v>
      </c>
      <c r="Q15" s="535">
        <v>11285</v>
      </c>
      <c r="R15" s="540">
        <f t="shared" si="0"/>
        <v>165509</v>
      </c>
    </row>
    <row r="16" spans="1:18" ht="13.5" thickBot="1" x14ac:dyDescent="0.25">
      <c r="A16" s="533">
        <v>44328</v>
      </c>
      <c r="B16" s="534">
        <f>33501+294</f>
        <v>33795</v>
      </c>
      <c r="C16" s="535">
        <f>400+21722</f>
        <v>22122</v>
      </c>
      <c r="D16" s="536">
        <f>27541+5403-109</f>
        <v>32835</v>
      </c>
      <c r="E16" s="535">
        <f>3485+9515</f>
        <v>13000</v>
      </c>
      <c r="F16" s="536">
        <v>9309</v>
      </c>
      <c r="G16" s="535">
        <f>1000+7360</f>
        <v>8360</v>
      </c>
      <c r="H16" s="536">
        <f>25745+2472</f>
        <v>28217</v>
      </c>
      <c r="I16" s="535">
        <f>890+7591</f>
        <v>8481</v>
      </c>
      <c r="J16" s="536">
        <v>32056</v>
      </c>
      <c r="K16" s="535">
        <f>292+2811</f>
        <v>3103</v>
      </c>
      <c r="L16" s="536">
        <f>23176+2716+707</f>
        <v>26599</v>
      </c>
      <c r="M16" s="535">
        <f>3123+7536</f>
        <v>10659</v>
      </c>
      <c r="N16" s="536">
        <v>15066</v>
      </c>
      <c r="O16" s="539">
        <f>2273+6443</f>
        <v>8716</v>
      </c>
      <c r="P16" s="536">
        <v>13012</v>
      </c>
      <c r="Q16" s="535">
        <v>3298</v>
      </c>
      <c r="R16" s="540">
        <f t="shared" si="0"/>
        <v>268628</v>
      </c>
    </row>
    <row r="17" spans="1:18" ht="13.5" thickBot="1" x14ac:dyDescent="0.25">
      <c r="A17" s="533">
        <v>44329</v>
      </c>
      <c r="B17" s="534">
        <v>34300</v>
      </c>
      <c r="C17" s="535">
        <f>6679+22016</f>
        <v>28695</v>
      </c>
      <c r="D17" s="536">
        <f>49857+1888-72</f>
        <v>51673</v>
      </c>
      <c r="E17" s="535">
        <f>800+13212</f>
        <v>14012</v>
      </c>
      <c r="F17" s="536">
        <v>11896</v>
      </c>
      <c r="G17" s="535">
        <f>1350+5653</f>
        <v>7003</v>
      </c>
      <c r="H17" s="536">
        <f>35216+835+955</f>
        <v>37006</v>
      </c>
      <c r="I17" s="535">
        <f>3375+26868-2175</f>
        <v>28068</v>
      </c>
      <c r="J17" s="536">
        <f>11768+4533</f>
        <v>16301</v>
      </c>
      <c r="K17" s="535">
        <f>550+6299</f>
        <v>6849</v>
      </c>
      <c r="L17" s="536">
        <f>46043+519+359</f>
        <v>46921</v>
      </c>
      <c r="M17" s="535">
        <f>3174+8742</f>
        <v>11916</v>
      </c>
      <c r="N17" s="544">
        <v>10752</v>
      </c>
      <c r="O17" s="539">
        <f>4107+3423</f>
        <v>7530</v>
      </c>
      <c r="P17" s="536">
        <v>16348</v>
      </c>
      <c r="Q17" s="535">
        <v>8225</v>
      </c>
      <c r="R17" s="540">
        <f t="shared" si="0"/>
        <v>337495</v>
      </c>
    </row>
    <row r="18" spans="1:18" ht="13.5" thickBot="1" x14ac:dyDescent="0.25">
      <c r="A18" s="533">
        <v>44330</v>
      </c>
      <c r="B18" s="534">
        <v>30284</v>
      </c>
      <c r="C18" s="535">
        <f>3229+13145</f>
        <v>16374</v>
      </c>
      <c r="D18" s="536">
        <f>74512+741+438</f>
        <v>75691</v>
      </c>
      <c r="E18" s="535">
        <f>2998+30262</f>
        <v>33260</v>
      </c>
      <c r="F18" s="536">
        <v>23099</v>
      </c>
      <c r="G18" s="535">
        <f>671+14744</f>
        <v>15415</v>
      </c>
      <c r="H18" s="536">
        <f>23462+1039</f>
        <v>24501</v>
      </c>
      <c r="I18" s="535">
        <f>2590+12486</f>
        <v>15076</v>
      </c>
      <c r="J18" s="536">
        <v>31082</v>
      </c>
      <c r="K18" s="535">
        <v>10216</v>
      </c>
      <c r="L18" s="536">
        <f>53480-1899+2521</f>
        <v>54102</v>
      </c>
      <c r="M18" s="535">
        <f>5514+15167</f>
        <v>20681</v>
      </c>
      <c r="N18" s="536">
        <v>22162</v>
      </c>
      <c r="O18" s="539">
        <f>2080+3794</f>
        <v>5874</v>
      </c>
      <c r="P18" s="536">
        <v>31078</v>
      </c>
      <c r="Q18" s="535">
        <v>10696</v>
      </c>
      <c r="R18" s="540">
        <f t="shared" si="0"/>
        <v>419591</v>
      </c>
    </row>
    <row r="19" spans="1:18" s="532" customFormat="1" ht="13.5" thickBot="1" x14ac:dyDescent="0.25">
      <c r="A19" s="533">
        <v>44331</v>
      </c>
      <c r="B19" s="524"/>
      <c r="C19" s="541"/>
      <c r="D19" s="542"/>
      <c r="E19" s="541"/>
      <c r="F19" s="542"/>
      <c r="G19" s="541"/>
      <c r="H19" s="542"/>
      <c r="I19" s="541"/>
      <c r="J19" s="542"/>
      <c r="K19" s="541"/>
      <c r="L19" s="542"/>
      <c r="M19" s="541"/>
      <c r="N19" s="542"/>
      <c r="O19" s="543"/>
      <c r="P19" s="542"/>
      <c r="Q19" s="541"/>
      <c r="R19" s="531">
        <f t="shared" si="0"/>
        <v>0</v>
      </c>
    </row>
    <row r="20" spans="1:18" ht="13.5" thickBot="1" x14ac:dyDescent="0.25">
      <c r="A20" s="533">
        <v>44332</v>
      </c>
      <c r="B20" s="534">
        <v>12104</v>
      </c>
      <c r="C20" s="535">
        <f>3119+13478</f>
        <v>16597</v>
      </c>
      <c r="D20" s="536">
        <f>14578+1385</f>
        <v>15963</v>
      </c>
      <c r="E20" s="535">
        <f>2549+8398</f>
        <v>10947</v>
      </c>
      <c r="F20" s="536">
        <v>3102</v>
      </c>
      <c r="G20" s="535">
        <f>244+1529</f>
        <v>1773</v>
      </c>
      <c r="H20" s="536">
        <f>5713+588</f>
        <v>6301</v>
      </c>
      <c r="I20" s="535">
        <f>2470+7207</f>
        <v>9677</v>
      </c>
      <c r="J20" s="536">
        <v>8409</v>
      </c>
      <c r="K20" s="535">
        <f>2680+2625</f>
        <v>5305</v>
      </c>
      <c r="L20" s="536">
        <f>15889-152</f>
        <v>15737</v>
      </c>
      <c r="M20" s="535">
        <f>515+8344</f>
        <v>8859</v>
      </c>
      <c r="N20" s="536">
        <v>2097</v>
      </c>
      <c r="O20" s="539">
        <v>2330</v>
      </c>
      <c r="P20" s="536">
        <v>6648</v>
      </c>
      <c r="Q20" s="535">
        <v>4770</v>
      </c>
      <c r="R20" s="540">
        <f t="shared" si="0"/>
        <v>130619</v>
      </c>
    </row>
    <row r="21" spans="1:18" ht="13.5" thickBot="1" x14ac:dyDescent="0.25">
      <c r="A21" s="533">
        <v>44333</v>
      </c>
      <c r="B21" s="534">
        <f>8247-783-1305</f>
        <v>6159</v>
      </c>
      <c r="C21" s="535">
        <f>1500+12811</f>
        <v>14311</v>
      </c>
      <c r="D21" s="536">
        <v>16729.349999999999</v>
      </c>
      <c r="E21" s="535">
        <f>374+10987</f>
        <v>11361</v>
      </c>
      <c r="F21" s="536">
        <v>5060</v>
      </c>
      <c r="G21" s="535">
        <f>220+4665</f>
        <v>4885</v>
      </c>
      <c r="H21" s="536">
        <f>6810+256</f>
        <v>7066</v>
      </c>
      <c r="I21" s="535">
        <f>3906+13517</f>
        <v>17423</v>
      </c>
      <c r="J21" s="536">
        <v>11023</v>
      </c>
      <c r="K21" s="535">
        <f>2098+5160</f>
        <v>7258</v>
      </c>
      <c r="L21" s="536">
        <v>15572</v>
      </c>
      <c r="M21" s="535">
        <f>3525+1673</f>
        <v>5198</v>
      </c>
      <c r="N21" s="536">
        <v>2971</v>
      </c>
      <c r="O21" s="539">
        <v>1919</v>
      </c>
      <c r="P21" s="536">
        <v>4117</v>
      </c>
      <c r="Q21" s="535">
        <v>2143</v>
      </c>
      <c r="R21" s="540">
        <f t="shared" si="0"/>
        <v>133195.35</v>
      </c>
    </row>
    <row r="22" spans="1:18" ht="13.5" thickBot="1" x14ac:dyDescent="0.25">
      <c r="A22" s="533">
        <v>44334</v>
      </c>
      <c r="B22" s="534">
        <f>3185+420</f>
        <v>3605</v>
      </c>
      <c r="C22" s="535">
        <f>6165+7957</f>
        <v>14122</v>
      </c>
      <c r="D22" s="534">
        <f>36657+1159-29</f>
        <v>37787</v>
      </c>
      <c r="E22" s="535">
        <f>813+13034</f>
        <v>13847</v>
      </c>
      <c r="F22" s="536">
        <v>5811</v>
      </c>
      <c r="G22" s="535">
        <f>2690+5493</f>
        <v>8183</v>
      </c>
      <c r="H22" s="536">
        <v>7931</v>
      </c>
      <c r="I22" s="535">
        <f>2600+4761</f>
        <v>7361</v>
      </c>
      <c r="J22" s="536">
        <v>7329</v>
      </c>
      <c r="K22" s="535">
        <f>2253+8347</f>
        <v>10600</v>
      </c>
      <c r="L22" s="536">
        <f>8048+1050+2240</f>
        <v>11338</v>
      </c>
      <c r="M22" s="535">
        <f>1040+8432</f>
        <v>9472</v>
      </c>
      <c r="N22" s="536">
        <v>15616</v>
      </c>
      <c r="O22" s="539">
        <f>2320+2392</f>
        <v>4712</v>
      </c>
      <c r="P22" s="536">
        <v>9946</v>
      </c>
      <c r="Q22" s="535">
        <v>4977</v>
      </c>
      <c r="R22" s="540">
        <f t="shared" si="0"/>
        <v>172637</v>
      </c>
    </row>
    <row r="23" spans="1:18" ht="13.5" thickBot="1" x14ac:dyDescent="0.25">
      <c r="A23" s="533">
        <v>44335</v>
      </c>
      <c r="B23" s="534">
        <v>27445</v>
      </c>
      <c r="C23" s="535">
        <f>2605+18512</f>
        <v>21117</v>
      </c>
      <c r="D23" s="536">
        <f>43012+787</f>
        <v>43799</v>
      </c>
      <c r="E23" s="535">
        <f>1794+11500</f>
        <v>13294</v>
      </c>
      <c r="F23" s="536">
        <v>14822</v>
      </c>
      <c r="G23" s="535">
        <f>95+4348</f>
        <v>4443</v>
      </c>
      <c r="H23" s="536">
        <v>17862</v>
      </c>
      <c r="I23" s="535">
        <f>1146+5912</f>
        <v>7058</v>
      </c>
      <c r="J23" s="536">
        <v>26580</v>
      </c>
      <c r="K23" s="535">
        <f>2716+2986</f>
        <v>5702</v>
      </c>
      <c r="L23" s="536">
        <f>26363+2240</f>
        <v>28603</v>
      </c>
      <c r="M23" s="535">
        <f>1384+6210</f>
        <v>7594</v>
      </c>
      <c r="N23" s="545">
        <v>13352</v>
      </c>
      <c r="O23" s="546">
        <f>39+6143</f>
        <v>6182</v>
      </c>
      <c r="P23" s="536">
        <f>11703+1750</f>
        <v>13453</v>
      </c>
      <c r="Q23" s="535">
        <v>10453</v>
      </c>
      <c r="R23" s="540">
        <f t="shared" si="0"/>
        <v>261759</v>
      </c>
    </row>
    <row r="24" spans="1:18" ht="13.5" thickBot="1" x14ac:dyDescent="0.25">
      <c r="A24" s="533">
        <v>44336</v>
      </c>
      <c r="B24" s="534">
        <v>55214</v>
      </c>
      <c r="C24" s="535">
        <f>5196+20632</f>
        <v>25828</v>
      </c>
      <c r="D24" s="547">
        <f>88982+3354</f>
        <v>92336</v>
      </c>
      <c r="E24" s="548">
        <f>5440+12745</f>
        <v>18185</v>
      </c>
      <c r="F24" s="536">
        <v>31511</v>
      </c>
      <c r="G24" s="535">
        <f>400+3910</f>
        <v>4310</v>
      </c>
      <c r="H24" s="536">
        <f>59979+807</f>
        <v>60786</v>
      </c>
      <c r="I24" s="535">
        <f>2020+13370</f>
        <v>15390</v>
      </c>
      <c r="J24" s="536">
        <v>48812</v>
      </c>
      <c r="K24" s="535">
        <f>8048+3797</f>
        <v>11845</v>
      </c>
      <c r="L24" s="536">
        <f>94539+344</f>
        <v>94883</v>
      </c>
      <c r="M24" s="535">
        <f>4547+4306</f>
        <v>8853</v>
      </c>
      <c r="N24" s="536">
        <v>16577</v>
      </c>
      <c r="O24" s="549">
        <v>2746</v>
      </c>
      <c r="P24" s="536">
        <v>29584</v>
      </c>
      <c r="Q24" s="535">
        <v>9673</v>
      </c>
      <c r="R24" s="540">
        <f t="shared" si="0"/>
        <v>526533</v>
      </c>
    </row>
    <row r="25" spans="1:18" ht="13.5" thickBot="1" x14ac:dyDescent="0.25">
      <c r="A25" s="533">
        <v>44337</v>
      </c>
      <c r="B25" s="534">
        <v>77843</v>
      </c>
      <c r="C25" s="535">
        <f>2500+10821</f>
        <v>13321</v>
      </c>
      <c r="D25" s="536">
        <f>131603+1370+2544</f>
        <v>135517</v>
      </c>
      <c r="E25" s="535">
        <f>6975+8216</f>
        <v>15191</v>
      </c>
      <c r="F25" s="536">
        <v>64562</v>
      </c>
      <c r="G25" s="535">
        <v>6616</v>
      </c>
      <c r="H25" s="536">
        <v>54283</v>
      </c>
      <c r="I25" s="535">
        <v>17923</v>
      </c>
      <c r="J25" s="536">
        <v>69504</v>
      </c>
      <c r="K25" s="535">
        <f>9067+2730</f>
        <v>11797</v>
      </c>
      <c r="L25" s="536">
        <f>116376+1383.9</f>
        <v>117759.9</v>
      </c>
      <c r="M25" s="535">
        <f>500+13396</f>
        <v>13896</v>
      </c>
      <c r="N25" s="536">
        <v>24338</v>
      </c>
      <c r="O25" s="539">
        <f>1918+2622</f>
        <v>4540</v>
      </c>
      <c r="P25" s="536">
        <v>49937</v>
      </c>
      <c r="Q25" s="535">
        <v>3084</v>
      </c>
      <c r="R25" s="540">
        <f t="shared" si="0"/>
        <v>680111.9</v>
      </c>
    </row>
    <row r="26" spans="1:18" s="532" customFormat="1" ht="13.5" thickBot="1" x14ac:dyDescent="0.25">
      <c r="A26" s="533">
        <v>44338</v>
      </c>
      <c r="B26" s="524"/>
      <c r="C26" s="541"/>
      <c r="D26" s="542"/>
      <c r="E26" s="541"/>
      <c r="F26" s="542"/>
      <c r="G26" s="541"/>
      <c r="H26" s="542"/>
      <c r="I26" s="541"/>
      <c r="J26" s="542"/>
      <c r="K26" s="541"/>
      <c r="L26" s="542"/>
      <c r="M26" s="541"/>
      <c r="N26" s="542"/>
      <c r="O26" s="543"/>
      <c r="P26" s="542"/>
      <c r="Q26" s="541"/>
      <c r="R26" s="531">
        <f t="shared" si="0"/>
        <v>0</v>
      </c>
    </row>
    <row r="27" spans="1:18" ht="13.5" thickBot="1" x14ac:dyDescent="0.25">
      <c r="A27" s="533">
        <v>44339</v>
      </c>
      <c r="B27" s="534">
        <v>9993</v>
      </c>
      <c r="C27" s="535">
        <f>2029+12022</f>
        <v>14051</v>
      </c>
      <c r="D27" s="536">
        <f>9427+1495</f>
        <v>10922</v>
      </c>
      <c r="E27" s="535">
        <f>5388+19363</f>
        <v>24751</v>
      </c>
      <c r="F27" s="536">
        <v>9082</v>
      </c>
      <c r="G27" s="535">
        <v>3718</v>
      </c>
      <c r="H27" s="536">
        <f>8089+890</f>
        <v>8979</v>
      </c>
      <c r="I27" s="535">
        <f>3504+9085</f>
        <v>12589</v>
      </c>
      <c r="J27" s="536">
        <v>9612</v>
      </c>
      <c r="K27" s="535">
        <f>1977+6387</f>
        <v>8364</v>
      </c>
      <c r="L27" s="536">
        <f>8493+1899</f>
        <v>10392</v>
      </c>
      <c r="M27" s="535">
        <f>1482+3069</f>
        <v>4551</v>
      </c>
      <c r="N27" s="536">
        <v>8016</v>
      </c>
      <c r="O27" s="535">
        <v>2892</v>
      </c>
      <c r="P27" s="536">
        <v>4590</v>
      </c>
      <c r="Q27" s="535">
        <v>5779</v>
      </c>
      <c r="R27" s="540">
        <f t="shared" si="0"/>
        <v>148281</v>
      </c>
    </row>
    <row r="28" spans="1:18" ht="13.5" thickBot="1" x14ac:dyDescent="0.25">
      <c r="A28" s="533">
        <v>44340</v>
      </c>
      <c r="B28" s="534">
        <v>28888.799999999999</v>
      </c>
      <c r="C28" s="535">
        <f>2781+14217</f>
        <v>16998</v>
      </c>
      <c r="D28" s="536">
        <v>14880</v>
      </c>
      <c r="E28" s="535">
        <f>4246+19033</f>
        <v>23279</v>
      </c>
      <c r="F28" s="536">
        <v>10923</v>
      </c>
      <c r="G28" s="535">
        <f>1833+5892</f>
        <v>7725</v>
      </c>
      <c r="H28" s="536">
        <f>22881+658+943</f>
        <v>24482</v>
      </c>
      <c r="I28" s="535">
        <f>722+10951</f>
        <v>11673</v>
      </c>
      <c r="J28" s="536">
        <v>13689</v>
      </c>
      <c r="K28" s="535">
        <f>1485+6791</f>
        <v>8276</v>
      </c>
      <c r="L28" s="536">
        <f>8938+2636</f>
        <v>11574</v>
      </c>
      <c r="M28" s="535">
        <f>13738+3908</f>
        <v>17646</v>
      </c>
      <c r="N28" s="536">
        <v>9896</v>
      </c>
      <c r="O28" s="539">
        <v>798</v>
      </c>
      <c r="P28" s="536">
        <v>7582</v>
      </c>
      <c r="Q28" s="535">
        <v>6523</v>
      </c>
      <c r="R28" s="540">
        <f>SUM(B28:Q28)</f>
        <v>214832.8</v>
      </c>
    </row>
    <row r="29" spans="1:18" s="532" customFormat="1" ht="13.5" thickBot="1" x14ac:dyDescent="0.25">
      <c r="A29" s="533">
        <v>44341</v>
      </c>
      <c r="B29" s="524"/>
      <c r="C29" s="541"/>
      <c r="D29" s="542"/>
      <c r="E29" s="541"/>
      <c r="F29" s="542"/>
      <c r="G29" s="541"/>
      <c r="H29" s="542"/>
      <c r="I29" s="541"/>
      <c r="J29" s="542"/>
      <c r="K29" s="541"/>
      <c r="L29" s="542"/>
      <c r="M29" s="541"/>
      <c r="N29" s="542"/>
      <c r="O29" s="543"/>
      <c r="P29" s="542"/>
      <c r="Q29" s="541"/>
      <c r="R29" s="531">
        <f t="shared" si="0"/>
        <v>0</v>
      </c>
    </row>
    <row r="30" spans="1:18" ht="13.5" thickBot="1" x14ac:dyDescent="0.25">
      <c r="A30" s="533">
        <v>44342</v>
      </c>
      <c r="B30" s="534">
        <f>22324+280</f>
        <v>22604</v>
      </c>
      <c r="C30" s="535">
        <f>300+16521</f>
        <v>16821</v>
      </c>
      <c r="D30" s="536">
        <v>26190</v>
      </c>
      <c r="E30" s="535">
        <f>5573+16104</f>
        <v>21677</v>
      </c>
      <c r="F30" s="536">
        <v>1889</v>
      </c>
      <c r="G30" s="535">
        <v>978</v>
      </c>
      <c r="H30" s="536">
        <f>25659+774</f>
        <v>26433</v>
      </c>
      <c r="I30" s="535">
        <f>2950+5710</f>
        <v>8660</v>
      </c>
      <c r="J30" s="536">
        <v>22598</v>
      </c>
      <c r="K30" s="535">
        <f>4993+5672</f>
        <v>10665</v>
      </c>
      <c r="L30" s="536">
        <f>38991+301</f>
        <v>39292</v>
      </c>
      <c r="M30" s="535">
        <f>2600+7273</f>
        <v>9873</v>
      </c>
      <c r="N30" s="536">
        <v>15278</v>
      </c>
      <c r="O30" s="539">
        <v>1359</v>
      </c>
      <c r="P30" s="536">
        <v>9837</v>
      </c>
      <c r="Q30" s="535">
        <v>3148</v>
      </c>
      <c r="R30" s="540">
        <f t="shared" si="0"/>
        <v>237302</v>
      </c>
    </row>
    <row r="31" spans="1:18" ht="13.5" thickBot="1" x14ac:dyDescent="0.25">
      <c r="A31" s="533">
        <v>44343</v>
      </c>
      <c r="B31" s="534">
        <v>21338</v>
      </c>
      <c r="C31" s="535">
        <f>5421+9222</f>
        <v>14643</v>
      </c>
      <c r="D31" s="536">
        <v>32608</v>
      </c>
      <c r="E31" s="535">
        <f>1649+6845</f>
        <v>8494</v>
      </c>
      <c r="F31" s="536">
        <v>16677</v>
      </c>
      <c r="G31" s="535">
        <f>2465+6273</f>
        <v>8738</v>
      </c>
      <c r="H31" s="536">
        <f>19208+1369</f>
        <v>20577</v>
      </c>
      <c r="I31" s="535">
        <f>5541+9423</f>
        <v>14964</v>
      </c>
      <c r="J31" s="536">
        <f>6162+175.7</f>
        <v>6337.7</v>
      </c>
      <c r="K31" s="535">
        <v>8041</v>
      </c>
      <c r="L31" s="536">
        <f>18948+970</f>
        <v>19918</v>
      </c>
      <c r="M31" s="535">
        <f>3400+2686</f>
        <v>6086</v>
      </c>
      <c r="N31" s="550">
        <v>10469</v>
      </c>
      <c r="O31" s="551">
        <f>1398+7440</f>
        <v>8838</v>
      </c>
      <c r="P31" s="536">
        <v>1653</v>
      </c>
      <c r="Q31" s="535">
        <v>8644</v>
      </c>
      <c r="R31" s="540">
        <f t="shared" si="0"/>
        <v>208025.7</v>
      </c>
    </row>
    <row r="32" spans="1:18" ht="13.5" thickBot="1" x14ac:dyDescent="0.25">
      <c r="A32" s="533">
        <v>44344</v>
      </c>
      <c r="B32" s="534">
        <v>31047</v>
      </c>
      <c r="C32" s="535">
        <v>23110</v>
      </c>
      <c r="D32" s="536">
        <v>62010</v>
      </c>
      <c r="E32" s="535">
        <f>3002+24961</f>
        <v>27963</v>
      </c>
      <c r="F32" s="536">
        <v>35430</v>
      </c>
      <c r="G32" s="535">
        <f>1487+5339</f>
        <v>6826</v>
      </c>
      <c r="H32" s="536">
        <v>24591</v>
      </c>
      <c r="I32" s="535">
        <f>1302+18644</f>
        <v>19946</v>
      </c>
      <c r="J32" s="536">
        <v>32923</v>
      </c>
      <c r="K32" s="535">
        <v>17839</v>
      </c>
      <c r="L32" s="536">
        <f>64673+896</f>
        <v>65569</v>
      </c>
      <c r="M32" s="535">
        <v>12066</v>
      </c>
      <c r="N32" s="550">
        <v>14668</v>
      </c>
      <c r="O32" s="551">
        <v>9587</v>
      </c>
      <c r="P32" s="536">
        <v>11504</v>
      </c>
      <c r="Q32" s="535">
        <v>15265</v>
      </c>
      <c r="R32" s="540">
        <f t="shared" si="0"/>
        <v>410344</v>
      </c>
    </row>
    <row r="33" spans="1:18" s="532" customFormat="1" ht="13.5" thickBot="1" x14ac:dyDescent="0.25">
      <c r="A33" s="533">
        <v>44345</v>
      </c>
      <c r="B33" s="524"/>
      <c r="C33" s="541"/>
      <c r="D33" s="542"/>
      <c r="E33" s="541"/>
      <c r="F33" s="542"/>
      <c r="G33" s="541"/>
      <c r="H33" s="542"/>
      <c r="I33" s="541"/>
      <c r="J33" s="542"/>
      <c r="K33" s="541"/>
      <c r="L33" s="542"/>
      <c r="M33" s="541"/>
      <c r="N33" s="542"/>
      <c r="O33" s="543"/>
      <c r="P33" s="542"/>
      <c r="Q33" s="541"/>
      <c r="R33" s="531">
        <f t="shared" si="0"/>
        <v>0</v>
      </c>
    </row>
    <row r="34" spans="1:18" ht="13.5" thickBot="1" x14ac:dyDescent="0.25">
      <c r="A34" s="533">
        <v>44346</v>
      </c>
      <c r="B34" s="534">
        <v>11154</v>
      </c>
      <c r="C34" s="535">
        <v>18428</v>
      </c>
      <c r="D34" s="536">
        <v>10428</v>
      </c>
      <c r="E34" s="535">
        <f>904+7219</f>
        <v>8123</v>
      </c>
      <c r="F34" s="536">
        <f>3200+1436</f>
        <v>4636</v>
      </c>
      <c r="G34" s="535">
        <v>329</v>
      </c>
      <c r="H34" s="536">
        <v>9016</v>
      </c>
      <c r="I34" s="535">
        <f>589+5144</f>
        <v>5733</v>
      </c>
      <c r="J34" s="536">
        <v>6899</v>
      </c>
      <c r="K34" s="535">
        <f>2268+2505</f>
        <v>4773</v>
      </c>
      <c r="L34" s="536">
        <v>3060</v>
      </c>
      <c r="M34" s="535">
        <f>2669+787</f>
        <v>3456</v>
      </c>
      <c r="N34" s="536">
        <v>6620</v>
      </c>
      <c r="O34" s="539">
        <v>1461</v>
      </c>
      <c r="P34" s="536">
        <v>3176</v>
      </c>
      <c r="Q34" s="535">
        <v>4334</v>
      </c>
      <c r="R34" s="540">
        <f t="shared" si="0"/>
        <v>101626</v>
      </c>
    </row>
    <row r="35" spans="1:18" ht="13.5" thickBot="1" x14ac:dyDescent="0.25">
      <c r="A35" s="533">
        <v>44347</v>
      </c>
      <c r="B35" s="534">
        <f>17892+1510</f>
        <v>19402</v>
      </c>
      <c r="C35" s="535">
        <f>1790+5740</f>
        <v>7530</v>
      </c>
      <c r="D35" s="536">
        <f>19842+5388</f>
        <v>25230</v>
      </c>
      <c r="E35" s="535">
        <f>2050+6984</f>
        <v>9034</v>
      </c>
      <c r="F35" s="536"/>
      <c r="G35" s="535"/>
      <c r="H35" s="536">
        <f>3654+308</f>
        <v>3962</v>
      </c>
      <c r="I35" s="535">
        <f>5550+9275</f>
        <v>14825</v>
      </c>
      <c r="J35" s="536">
        <v>13915</v>
      </c>
      <c r="K35" s="535">
        <f>3472+6543</f>
        <v>10015</v>
      </c>
      <c r="L35" s="536">
        <f>9699+4369</f>
        <v>14068</v>
      </c>
      <c r="M35" s="535">
        <f>1812+3328</f>
        <v>5140</v>
      </c>
      <c r="N35" s="536">
        <v>6797</v>
      </c>
      <c r="O35" s="539">
        <v>2554</v>
      </c>
      <c r="P35" s="536"/>
      <c r="Q35" s="535"/>
      <c r="R35" s="540">
        <f>SUM(B35:Q35)</f>
        <v>132472</v>
      </c>
    </row>
    <row r="36" spans="1:18" ht="13.5" thickBot="1" x14ac:dyDescent="0.25">
      <c r="A36" s="552" t="s">
        <v>8</v>
      </c>
      <c r="B36" s="553">
        <f>SUM(B5:B35)</f>
        <v>623952.80000000005</v>
      </c>
      <c r="C36" s="554">
        <f t="shared" ref="C36:P36" si="1">SUM(C5:C35)</f>
        <v>439087</v>
      </c>
      <c r="D36" s="553">
        <f t="shared" si="1"/>
        <v>988409.35</v>
      </c>
      <c r="E36" s="554">
        <f t="shared" si="1"/>
        <v>406689</v>
      </c>
      <c r="F36" s="553">
        <f t="shared" si="1"/>
        <v>374499</v>
      </c>
      <c r="G36" s="554">
        <f t="shared" si="1"/>
        <v>126983</v>
      </c>
      <c r="H36" s="553">
        <f t="shared" si="1"/>
        <v>571749</v>
      </c>
      <c r="I36" s="554">
        <f t="shared" si="1"/>
        <v>305029</v>
      </c>
      <c r="J36" s="553">
        <f t="shared" si="1"/>
        <v>472360.7</v>
      </c>
      <c r="K36" s="554">
        <f t="shared" si="1"/>
        <v>214140</v>
      </c>
      <c r="L36" s="555">
        <f t="shared" si="1"/>
        <v>812702.9</v>
      </c>
      <c r="M36" s="556">
        <f t="shared" si="1"/>
        <v>265104</v>
      </c>
      <c r="N36" s="555">
        <f t="shared" si="1"/>
        <v>283725</v>
      </c>
      <c r="O36" s="557">
        <f t="shared" si="1"/>
        <v>109483</v>
      </c>
      <c r="P36" s="558">
        <f t="shared" si="1"/>
        <v>301244</v>
      </c>
      <c r="Q36" s="559">
        <f>SUM(Q5:Q35)</f>
        <v>156675</v>
      </c>
      <c r="R36" s="560"/>
    </row>
    <row r="37" spans="1:18" ht="13.5" thickBot="1" x14ac:dyDescent="0.25">
      <c r="A37" s="561"/>
      <c r="B37" s="562" t="s">
        <v>101</v>
      </c>
      <c r="C37" s="563">
        <f>+B36+C36</f>
        <v>1063039.8</v>
      </c>
      <c r="D37" s="564" t="s">
        <v>101</v>
      </c>
      <c r="E37" s="565">
        <f>+D36+E36</f>
        <v>1395098.35</v>
      </c>
      <c r="F37" s="566" t="s">
        <v>101</v>
      </c>
      <c r="G37" s="567">
        <f>+F36+G36</f>
        <v>501482</v>
      </c>
      <c r="H37" s="568" t="s">
        <v>101</v>
      </c>
      <c r="I37" s="563">
        <f>+H36+I36</f>
        <v>876778</v>
      </c>
      <c r="J37" s="566" t="s">
        <v>101</v>
      </c>
      <c r="K37" s="567">
        <f>+J36+K36</f>
        <v>686500.7</v>
      </c>
      <c r="L37" s="569" t="s">
        <v>101</v>
      </c>
      <c r="M37" s="569">
        <f>+L36+M36</f>
        <v>1077806.8999999999</v>
      </c>
      <c r="N37" s="564" t="s">
        <v>101</v>
      </c>
      <c r="O37" s="570">
        <f>+N36+O36</f>
        <v>393208</v>
      </c>
      <c r="P37" s="571"/>
      <c r="Q37" s="565">
        <f>+P36+Q36</f>
        <v>457919</v>
      </c>
      <c r="R37" s="563">
        <f>SUM(R5:R35)</f>
        <v>6451832.75</v>
      </c>
    </row>
    <row r="38" spans="1:18" ht="13.5" thickBot="1" x14ac:dyDescent="0.25">
      <c r="B38" s="572">
        <f>+B36/C37*100</f>
        <v>58.69514951368707</v>
      </c>
      <c r="C38" s="572">
        <f>+C36/C37*100</f>
        <v>41.30485048631293</v>
      </c>
      <c r="D38" s="572">
        <f>+D36/E37*100</f>
        <v>70.848721884016271</v>
      </c>
      <c r="E38" s="572">
        <f>+E36/E37*100</f>
        <v>29.151278115983718</v>
      </c>
      <c r="F38" s="572">
        <f>+F36/G37*100</f>
        <v>74.678453065115008</v>
      </c>
      <c r="G38" s="572">
        <f>+G36/G37*100</f>
        <v>25.321546934885003</v>
      </c>
      <c r="H38" s="572">
        <f>+H36/I37*100</f>
        <v>65.210235658285214</v>
      </c>
      <c r="I38" s="572">
        <f>+I36/I37*100</f>
        <v>34.789764341714779</v>
      </c>
      <c r="J38" s="572">
        <f>+J36/K37*100</f>
        <v>68.807023794731748</v>
      </c>
      <c r="K38" s="572">
        <f>+K36/K37*100</f>
        <v>31.192976205268259</v>
      </c>
      <c r="L38" s="572">
        <f>+L36/M37*100</f>
        <v>75.403386265202059</v>
      </c>
      <c r="M38" s="572">
        <f>+M36/M37*100</f>
        <v>24.596613734797952</v>
      </c>
      <c r="N38" s="572">
        <f>+N36/O37*100</f>
        <v>72.156466806372194</v>
      </c>
      <c r="O38" s="572">
        <f>+O36/O37*100</f>
        <v>27.843533193627799</v>
      </c>
      <c r="P38" s="572"/>
      <c r="Q38" s="572"/>
      <c r="R38" s="512">
        <v>3100000</v>
      </c>
    </row>
    <row r="39" spans="1:18" ht="13.5" thickBot="1" x14ac:dyDescent="0.25">
      <c r="A39" s="573" t="s">
        <v>17</v>
      </c>
      <c r="B39" s="574"/>
      <c r="C39" s="575">
        <f>C37/R37</f>
        <v>0.16476555440777663</v>
      </c>
      <c r="D39" s="575"/>
      <c r="E39" s="575">
        <f>E37/R37</f>
        <v>0.21623287584446452</v>
      </c>
      <c r="F39" s="575"/>
      <c r="G39" s="575">
        <f>G37/R37</f>
        <v>7.772706135322556E-2</v>
      </c>
      <c r="H39" s="575"/>
      <c r="I39" s="575">
        <f>I37/R37</f>
        <v>0.13589595917532116</v>
      </c>
      <c r="J39" s="575"/>
      <c r="K39" s="575">
        <f>K37/R37</f>
        <v>0.10640398265128617</v>
      </c>
      <c r="L39" s="575"/>
      <c r="M39" s="575">
        <f>M37/R37</f>
        <v>0.1670543769132887</v>
      </c>
      <c r="N39" s="575"/>
      <c r="O39" s="575">
        <f>+O37/R37</f>
        <v>6.0945163217381915E-2</v>
      </c>
      <c r="P39" s="575"/>
      <c r="Q39" s="575"/>
      <c r="R39" s="576">
        <f>R37/R37</f>
        <v>1</v>
      </c>
    </row>
    <row r="40" spans="1:18" ht="13.5" thickBot="1" x14ac:dyDescent="0.25">
      <c r="A40" s="577" t="s">
        <v>18</v>
      </c>
      <c r="B40" s="578"/>
      <c r="C40" s="579">
        <f>C37/25</f>
        <v>42521.592000000004</v>
      </c>
      <c r="D40" s="579"/>
      <c r="E40" s="579">
        <f t="shared" ref="E40:O40" si="2">E37/26</f>
        <v>53657.62884615385</v>
      </c>
      <c r="F40" s="579"/>
      <c r="G40" s="579">
        <f t="shared" si="2"/>
        <v>19287.76923076923</v>
      </c>
      <c r="H40" s="579"/>
      <c r="I40" s="579">
        <f t="shared" si="2"/>
        <v>33722.230769230766</v>
      </c>
      <c r="J40" s="579"/>
      <c r="K40" s="579">
        <f t="shared" si="2"/>
        <v>26403.873076923075</v>
      </c>
      <c r="L40" s="579"/>
      <c r="M40" s="579">
        <f t="shared" si="2"/>
        <v>41454.111538461533</v>
      </c>
      <c r="N40" s="579"/>
      <c r="O40" s="579">
        <f t="shared" si="2"/>
        <v>15123.384615384615</v>
      </c>
      <c r="P40" s="579"/>
      <c r="Q40" s="579"/>
      <c r="R40" s="580">
        <f>R37/25</f>
        <v>258073.31</v>
      </c>
    </row>
    <row r="41" spans="1:18" ht="16.5" thickBot="1" x14ac:dyDescent="0.3">
      <c r="C41" s="581"/>
      <c r="D41" s="581"/>
      <c r="E41" s="581"/>
      <c r="F41" s="582"/>
      <c r="G41" s="582"/>
      <c r="H41" s="582"/>
      <c r="I41" s="582"/>
      <c r="J41" s="582"/>
      <c r="K41" s="582"/>
      <c r="L41" s="582"/>
      <c r="M41" s="582"/>
      <c r="N41" s="583"/>
      <c r="O41" s="583"/>
      <c r="P41" s="583"/>
      <c r="Q41" s="583"/>
      <c r="R41" s="584"/>
    </row>
    <row r="42" spans="1:18" ht="13.5" thickBot="1" x14ac:dyDescent="0.25">
      <c r="A42" s="585" t="s">
        <v>19</v>
      </c>
      <c r="B42" s="586"/>
      <c r="C42" s="587"/>
      <c r="D42" s="587"/>
      <c r="E42" s="587"/>
      <c r="F42" s="587"/>
      <c r="G42" s="587"/>
      <c r="H42" s="587"/>
      <c r="I42" s="587"/>
      <c r="J42" s="587"/>
      <c r="K42" s="587"/>
      <c r="L42" s="588"/>
      <c r="M42" s="588"/>
      <c r="N42" s="588"/>
      <c r="O42" s="588"/>
      <c r="P42" s="589"/>
      <c r="Q42" s="589"/>
      <c r="R42" s="540" t="e">
        <f>AVERAGE(C43,E43,G43,I43,K43,M43)</f>
        <v>#DIV/0!</v>
      </c>
    </row>
    <row r="43" spans="1:18" ht="13.5" thickBot="1" x14ac:dyDescent="0.25">
      <c r="A43" s="590" t="s">
        <v>20</v>
      </c>
      <c r="B43" s="591"/>
      <c r="C43" s="592" t="e">
        <f>+C37/C42</f>
        <v>#DIV/0!</v>
      </c>
      <c r="D43" s="592"/>
      <c r="E43" s="592" t="e">
        <f>+E37/E42</f>
        <v>#DIV/0!</v>
      </c>
      <c r="F43" s="592"/>
      <c r="G43" s="592" t="e">
        <f>+G37/G42</f>
        <v>#DIV/0!</v>
      </c>
      <c r="H43" s="592"/>
      <c r="I43" s="592" t="e">
        <f>+I37/I42</f>
        <v>#DIV/0!</v>
      </c>
      <c r="J43" s="592"/>
      <c r="K43" s="593" t="e">
        <f>+K37/K42</f>
        <v>#DIV/0!</v>
      </c>
      <c r="L43" s="593"/>
      <c r="M43" s="592" t="e">
        <f>+M37/M42</f>
        <v>#DIV/0!</v>
      </c>
      <c r="N43" s="592"/>
      <c r="O43" s="592" t="e">
        <f>+O37/O42</f>
        <v>#DIV/0!</v>
      </c>
      <c r="P43" s="594"/>
      <c r="Q43" s="594"/>
      <c r="R43" s="540"/>
    </row>
    <row r="44" spans="1:18" x14ac:dyDescent="0.2">
      <c r="A44" s="595"/>
      <c r="B44" s="595"/>
      <c r="C44" s="596"/>
      <c r="D44" s="596"/>
      <c r="E44" s="596"/>
      <c r="F44" s="596"/>
      <c r="G44" s="596"/>
      <c r="H44" s="596"/>
      <c r="I44" s="596"/>
      <c r="J44" s="596"/>
      <c r="K44" s="597"/>
      <c r="L44" s="597"/>
      <c r="M44" s="596"/>
      <c r="N44" s="596"/>
      <c r="O44" s="596"/>
      <c r="P44" s="596"/>
      <c r="Q44" s="596"/>
      <c r="R44" s="598"/>
    </row>
    <row r="45" spans="1:18" x14ac:dyDescent="0.2">
      <c r="A45" s="672" t="s">
        <v>101</v>
      </c>
      <c r="B45" s="672"/>
      <c r="C45" s="599" t="s">
        <v>22</v>
      </c>
      <c r="F45" s="673" t="s">
        <v>101</v>
      </c>
      <c r="G45" s="673"/>
      <c r="H45" s="600" t="s">
        <v>22</v>
      </c>
      <c r="K45" s="674" t="s">
        <v>24</v>
      </c>
      <c r="L45" s="674"/>
      <c r="M45" s="601" t="s">
        <v>22</v>
      </c>
    </row>
    <row r="46" spans="1:18" x14ac:dyDescent="0.2">
      <c r="A46" s="599" t="s">
        <v>25</v>
      </c>
      <c r="B46" s="602">
        <f>+C36+E36+I36+O36</f>
        <v>1260288</v>
      </c>
      <c r="C46" s="602">
        <f>+(B46/B48)*100</f>
        <v>33.804882812177809</v>
      </c>
      <c r="F46" s="600" t="s">
        <v>26</v>
      </c>
      <c r="G46" s="603">
        <f>+G36+K36+M36</f>
        <v>606227</v>
      </c>
      <c r="H46" s="603">
        <f>+(G46/G48)*100</f>
        <v>26.755661690741274</v>
      </c>
      <c r="K46" s="601" t="s">
        <v>26</v>
      </c>
      <c r="L46" s="604">
        <f>+B46+G46</f>
        <v>1866515</v>
      </c>
      <c r="M46" s="604">
        <f>+L46/L48*100</f>
        <v>31.140171144437971</v>
      </c>
    </row>
    <row r="47" spans="1:18" x14ac:dyDescent="0.2">
      <c r="A47" s="599" t="s">
        <v>27</v>
      </c>
      <c r="B47" s="602">
        <f>+B36+D36+H36+N36</f>
        <v>2467836.15</v>
      </c>
      <c r="C47" s="602">
        <f>+(B47/B48)*100</f>
        <v>66.195117187822191</v>
      </c>
      <c r="F47" s="600" t="s">
        <v>28</v>
      </c>
      <c r="G47" s="603">
        <f>+F36+J36+L36</f>
        <v>1659562.6</v>
      </c>
      <c r="H47" s="603">
        <f>+(G47/G48)*100</f>
        <v>73.244338309258723</v>
      </c>
      <c r="K47" s="601" t="s">
        <v>29</v>
      </c>
      <c r="L47" s="604">
        <f>+B47+G47</f>
        <v>4127398.75</v>
      </c>
      <c r="M47" s="604">
        <f>+L47/L48*100</f>
        <v>68.859828855562029</v>
      </c>
    </row>
    <row r="48" spans="1:18" x14ac:dyDescent="0.2">
      <c r="A48" s="605"/>
      <c r="B48" s="606">
        <f>+B46+B47</f>
        <v>3728124.15</v>
      </c>
      <c r="C48" s="605"/>
      <c r="F48" s="607"/>
      <c r="G48" s="608">
        <f>+G46+G47</f>
        <v>2265789.6</v>
      </c>
      <c r="H48" s="607"/>
      <c r="K48" s="601"/>
      <c r="L48" s="604">
        <f>SUM(L46:L47)</f>
        <v>5993913.75</v>
      </c>
      <c r="M48" s="601"/>
    </row>
  </sheetData>
  <mergeCells count="12">
    <mergeCell ref="N3:O3"/>
    <mergeCell ref="P3:Q3"/>
    <mergeCell ref="A45:B45"/>
    <mergeCell ref="F45:G45"/>
    <mergeCell ref="K45:L45"/>
    <mergeCell ref="C1:M1"/>
    <mergeCell ref="B3:C3"/>
    <mergeCell ref="D3:E3"/>
    <mergeCell ref="F3:G3"/>
    <mergeCell ref="H3:I3"/>
    <mergeCell ref="J3:K3"/>
    <mergeCell ref="L3:M3"/>
  </mergeCells>
  <phoneticPr fontId="55" type="noConversion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1"/>
  <sheetViews>
    <sheetView topLeftCell="C1" workbookViewId="0">
      <selection activeCell="C2" sqref="C2"/>
    </sheetView>
  </sheetViews>
  <sheetFormatPr baseColWidth="10" defaultRowHeight="12.75" x14ac:dyDescent="0.2"/>
  <cols>
    <col min="1" max="1" width="22.7109375" style="512" bestFit="1" customWidth="1"/>
    <col min="2" max="2" width="14.42578125" style="512" bestFit="1" customWidth="1"/>
    <col min="3" max="4" width="11.42578125" style="512" customWidth="1"/>
    <col min="5" max="5" width="13.28515625" style="512" bestFit="1" customWidth="1"/>
    <col min="6" max="6" width="11.42578125" style="512" customWidth="1"/>
    <col min="7" max="7" width="14.42578125" style="512" bestFit="1" customWidth="1"/>
    <col min="8" max="11" width="11.42578125" style="512" customWidth="1"/>
    <col min="12" max="12" width="14.42578125" style="512" bestFit="1" customWidth="1"/>
    <col min="13" max="13" width="13.28515625" style="512" bestFit="1" customWidth="1"/>
    <col min="14" max="17" width="11.42578125" style="512" customWidth="1"/>
    <col min="18" max="18" width="13.28515625" style="512" bestFit="1" customWidth="1"/>
    <col min="19" max="16384" width="11.42578125" style="512"/>
  </cols>
  <sheetData>
    <row r="1" spans="1:18" x14ac:dyDescent="0.2">
      <c r="C1" s="669" t="s">
        <v>159</v>
      </c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513"/>
      <c r="O1" s="513"/>
      <c r="P1" s="513"/>
      <c r="Q1" s="513"/>
    </row>
    <row r="2" spans="1:18" ht="13.5" thickBot="1" x14ac:dyDescent="0.25"/>
    <row r="3" spans="1:18" ht="16.5" thickBot="1" x14ac:dyDescent="0.3">
      <c r="A3" s="514" t="s">
        <v>107</v>
      </c>
      <c r="B3" s="670" t="s">
        <v>143</v>
      </c>
      <c r="C3" s="671"/>
      <c r="D3" s="670" t="s">
        <v>144</v>
      </c>
      <c r="E3" s="671"/>
      <c r="F3" s="670" t="s">
        <v>145</v>
      </c>
      <c r="G3" s="671"/>
      <c r="H3" s="670" t="s">
        <v>146</v>
      </c>
      <c r="I3" s="671"/>
      <c r="J3" s="670" t="s">
        <v>147</v>
      </c>
      <c r="K3" s="671"/>
      <c r="L3" s="670" t="s">
        <v>148</v>
      </c>
      <c r="M3" s="671"/>
      <c r="N3" s="670" t="s">
        <v>149</v>
      </c>
      <c r="O3" s="671"/>
      <c r="P3" s="670" t="s">
        <v>150</v>
      </c>
      <c r="Q3" s="671"/>
      <c r="R3" s="515" t="s">
        <v>5</v>
      </c>
    </row>
    <row r="4" spans="1:18" ht="16.5" thickBot="1" x14ac:dyDescent="0.3">
      <c r="A4" s="514"/>
      <c r="B4" s="516" t="s">
        <v>6</v>
      </c>
      <c r="C4" s="517" t="s">
        <v>7</v>
      </c>
      <c r="D4" s="516" t="s">
        <v>6</v>
      </c>
      <c r="E4" s="517" t="s">
        <v>7</v>
      </c>
      <c r="F4" s="518" t="s">
        <v>6</v>
      </c>
      <c r="G4" s="519" t="s">
        <v>7</v>
      </c>
      <c r="H4" s="516" t="s">
        <v>6</v>
      </c>
      <c r="I4" s="517" t="s">
        <v>7</v>
      </c>
      <c r="J4" s="518" t="s">
        <v>6</v>
      </c>
      <c r="K4" s="519" t="s">
        <v>7</v>
      </c>
      <c r="L4" s="518" t="s">
        <v>6</v>
      </c>
      <c r="M4" s="519" t="s">
        <v>7</v>
      </c>
      <c r="N4" s="516" t="s">
        <v>6</v>
      </c>
      <c r="O4" s="520" t="s">
        <v>7</v>
      </c>
      <c r="P4" s="521" t="s">
        <v>6</v>
      </c>
      <c r="Q4" s="522" t="s">
        <v>7</v>
      </c>
      <c r="R4" s="515"/>
    </row>
    <row r="5" spans="1:18" ht="13.5" thickBot="1" x14ac:dyDescent="0.25">
      <c r="A5" s="533">
        <v>42522</v>
      </c>
      <c r="B5" s="534">
        <v>18619</v>
      </c>
      <c r="C5" s="609">
        <f>2370+13379</f>
        <v>15749</v>
      </c>
      <c r="D5" s="534">
        <f>16912+3651</f>
        <v>20563</v>
      </c>
      <c r="E5" s="610">
        <f>4103+11829</f>
        <v>15932</v>
      </c>
      <c r="F5" s="611">
        <v>6183</v>
      </c>
      <c r="G5" s="610">
        <v>4770</v>
      </c>
      <c r="H5" s="611">
        <f>10086+1110</f>
        <v>11196</v>
      </c>
      <c r="I5" s="610">
        <f>2635+12471</f>
        <v>15106</v>
      </c>
      <c r="J5" s="611">
        <f>15179+3570</f>
        <v>18749</v>
      </c>
      <c r="K5" s="610">
        <f>2322+7652</f>
        <v>9974</v>
      </c>
      <c r="L5" s="611">
        <f>25136+200</f>
        <v>25336</v>
      </c>
      <c r="M5" s="610">
        <f>5200+5858</f>
        <v>11058</v>
      </c>
      <c r="N5" s="611">
        <v>12409</v>
      </c>
      <c r="O5" s="612">
        <f>2472+2834</f>
        <v>5306</v>
      </c>
      <c r="P5" s="538">
        <v>10347</v>
      </c>
      <c r="Q5" s="537">
        <v>9894</v>
      </c>
      <c r="R5" s="540">
        <f>SUM(B5:Q5)</f>
        <v>211191</v>
      </c>
    </row>
    <row r="6" spans="1:18" ht="13.5" thickBot="1" x14ac:dyDescent="0.25">
      <c r="A6" s="533">
        <v>42523</v>
      </c>
      <c r="B6" s="534">
        <f>29791+7895</f>
        <v>37686</v>
      </c>
      <c r="C6" s="535">
        <f>3492+14302</f>
        <v>17794</v>
      </c>
      <c r="D6" s="536">
        <f>26343+1062</f>
        <v>27405</v>
      </c>
      <c r="E6" s="537">
        <f>935+13115</f>
        <v>14050</v>
      </c>
      <c r="F6" s="538">
        <v>4213</v>
      </c>
      <c r="G6" s="537">
        <f>300+3023</f>
        <v>3323</v>
      </c>
      <c r="H6" s="538">
        <f>21741+735+4811.3</f>
        <v>27287.3</v>
      </c>
      <c r="I6" s="537">
        <f>4133+1468</f>
        <v>5601</v>
      </c>
      <c r="J6" s="538">
        <v>11814</v>
      </c>
      <c r="K6" s="537">
        <f>1000+4518</f>
        <v>5518</v>
      </c>
      <c r="L6" s="538">
        <f>17653+4796</f>
        <v>22449</v>
      </c>
      <c r="M6" s="537">
        <f>2157+7469</f>
        <v>9626</v>
      </c>
      <c r="N6" s="538">
        <v>12967</v>
      </c>
      <c r="O6" s="539">
        <f>688+794</f>
        <v>1482</v>
      </c>
      <c r="P6" s="536">
        <v>9116</v>
      </c>
      <c r="Q6" s="535">
        <v>6002</v>
      </c>
      <c r="R6" s="540">
        <f t="shared" ref="R6:R34" si="0">SUM(B6:Q6)</f>
        <v>216333.3</v>
      </c>
    </row>
    <row r="7" spans="1:18" ht="13.5" thickBot="1" x14ac:dyDescent="0.25">
      <c r="A7" s="533">
        <v>42524</v>
      </c>
      <c r="B7" s="534">
        <f>37614+3948</f>
        <v>41562</v>
      </c>
      <c r="C7" s="535">
        <f>8618+15759</f>
        <v>24377</v>
      </c>
      <c r="D7" s="534">
        <f>38893+4656</f>
        <v>43549</v>
      </c>
      <c r="E7" s="535">
        <f>3584+25354</f>
        <v>28938</v>
      </c>
      <c r="F7" s="538">
        <v>18903</v>
      </c>
      <c r="G7" s="537">
        <f>200+8766</f>
        <v>8966</v>
      </c>
      <c r="H7" s="538">
        <f>27895+774</f>
        <v>28669</v>
      </c>
      <c r="I7" s="537">
        <f>1844+20354</f>
        <v>22198</v>
      </c>
      <c r="J7" s="538">
        <f>33519+3570</f>
        <v>37089</v>
      </c>
      <c r="K7" s="537">
        <f>2873+12500</f>
        <v>15373</v>
      </c>
      <c r="L7" s="538">
        <f>29206+5197</f>
        <v>34403</v>
      </c>
      <c r="M7" s="537">
        <f>5680+19401</f>
        <v>25081</v>
      </c>
      <c r="N7" s="538">
        <v>18094</v>
      </c>
      <c r="O7" s="539">
        <f>800+4737</f>
        <v>5537</v>
      </c>
      <c r="P7" s="536">
        <v>4339</v>
      </c>
      <c r="Q7" s="535">
        <v>5478</v>
      </c>
      <c r="R7" s="540">
        <f t="shared" si="0"/>
        <v>362556</v>
      </c>
    </row>
    <row r="8" spans="1:18" ht="13.5" thickBot="1" x14ac:dyDescent="0.25">
      <c r="A8" s="533">
        <v>42525</v>
      </c>
      <c r="B8" s="534">
        <f>2776+1022</f>
        <v>3798</v>
      </c>
      <c r="C8" s="535">
        <f>4775+13059</f>
        <v>17834</v>
      </c>
      <c r="D8" s="534">
        <f>47770+3209</f>
        <v>50979</v>
      </c>
      <c r="E8" s="535">
        <f>4051+20457</f>
        <v>24508</v>
      </c>
      <c r="F8" s="536">
        <v>24153</v>
      </c>
      <c r="G8" s="535">
        <f>2320+14606</f>
        <v>16926</v>
      </c>
      <c r="H8" s="538">
        <v>32793</v>
      </c>
      <c r="I8" s="537">
        <f>7094+11746</f>
        <v>18840</v>
      </c>
      <c r="J8" s="538">
        <v>32792</v>
      </c>
      <c r="K8" s="537">
        <f>4215+18912</f>
        <v>23127</v>
      </c>
      <c r="L8" s="536">
        <f>26553+3257</f>
        <v>29810</v>
      </c>
      <c r="M8" s="535">
        <f>1781+18354</f>
        <v>20135</v>
      </c>
      <c r="N8" s="536">
        <v>14596</v>
      </c>
      <c r="O8" s="539">
        <f>1001+5338</f>
        <v>6339</v>
      </c>
      <c r="P8" s="536">
        <v>14617</v>
      </c>
      <c r="Q8" s="535">
        <v>5398</v>
      </c>
      <c r="R8" s="540">
        <f t="shared" si="0"/>
        <v>336645</v>
      </c>
    </row>
    <row r="9" spans="1:18" s="532" customFormat="1" ht="13.5" thickBot="1" x14ac:dyDescent="0.25">
      <c r="A9" s="523">
        <v>42526</v>
      </c>
      <c r="B9" s="524"/>
      <c r="C9" s="541"/>
      <c r="D9" s="542"/>
      <c r="E9" s="541"/>
      <c r="F9" s="542"/>
      <c r="G9" s="541"/>
      <c r="H9" s="542"/>
      <c r="I9" s="541"/>
      <c r="J9" s="542"/>
      <c r="K9" s="541"/>
      <c r="L9" s="542"/>
      <c r="M9" s="541"/>
      <c r="N9" s="542"/>
      <c r="O9" s="543"/>
      <c r="P9" s="542"/>
      <c r="Q9" s="541"/>
      <c r="R9" s="531">
        <f t="shared" si="0"/>
        <v>0</v>
      </c>
    </row>
    <row r="10" spans="1:18" ht="13.5" thickBot="1" x14ac:dyDescent="0.25">
      <c r="A10" s="533">
        <v>42527</v>
      </c>
      <c r="B10" s="534">
        <v>3289</v>
      </c>
      <c r="C10" s="535">
        <f>4896+10606</f>
        <v>15502</v>
      </c>
      <c r="D10" s="536">
        <v>16326</v>
      </c>
      <c r="E10" s="535">
        <f>2750+12406</f>
        <v>15156</v>
      </c>
      <c r="F10" s="536">
        <v>3928</v>
      </c>
      <c r="G10" s="535">
        <f>242+4280</f>
        <v>4522</v>
      </c>
      <c r="H10" s="536">
        <v>12873</v>
      </c>
      <c r="I10" s="535">
        <f>3764+8447</f>
        <v>12211</v>
      </c>
      <c r="J10" s="536">
        <f>8310+1540</f>
        <v>9850</v>
      </c>
      <c r="K10" s="535">
        <f>5515+2656</f>
        <v>8171</v>
      </c>
      <c r="L10" s="536">
        <f>18698+732</f>
        <v>19430</v>
      </c>
      <c r="M10" s="535">
        <f>628+6818</f>
        <v>7446</v>
      </c>
      <c r="N10" s="536">
        <v>8138</v>
      </c>
      <c r="O10" s="539">
        <v>475</v>
      </c>
      <c r="P10" s="536">
        <v>2128</v>
      </c>
      <c r="Q10" s="535">
        <v>10814</v>
      </c>
      <c r="R10" s="540">
        <f t="shared" si="0"/>
        <v>150259</v>
      </c>
    </row>
    <row r="11" spans="1:18" ht="13.5" thickBot="1" x14ac:dyDescent="0.25">
      <c r="A11" s="533">
        <v>42528</v>
      </c>
      <c r="B11" s="534">
        <v>10196</v>
      </c>
      <c r="C11" s="535">
        <f>2566+5984</f>
        <v>8550</v>
      </c>
      <c r="D11" s="536">
        <f>19369+1871</f>
        <v>21240</v>
      </c>
      <c r="E11" s="535">
        <f>6437+6613</f>
        <v>13050</v>
      </c>
      <c r="F11" s="536">
        <v>2621</v>
      </c>
      <c r="G11" s="535">
        <f>480+700</f>
        <v>1180</v>
      </c>
      <c r="H11" s="536">
        <v>18582</v>
      </c>
      <c r="I11" s="535">
        <f>2841+4147</f>
        <v>6988</v>
      </c>
      <c r="J11" s="536">
        <v>13889</v>
      </c>
      <c r="K11" s="535">
        <f>1607+8914</f>
        <v>10521</v>
      </c>
      <c r="L11" s="536">
        <f>6019+2063</f>
        <v>8082</v>
      </c>
      <c r="M11" s="535">
        <f>944+13738</f>
        <v>14682</v>
      </c>
      <c r="N11" s="536">
        <v>2692</v>
      </c>
      <c r="O11" s="539">
        <v>1880</v>
      </c>
      <c r="P11" s="536">
        <v>7338</v>
      </c>
      <c r="Q11" s="535">
        <v>7113</v>
      </c>
      <c r="R11" s="540">
        <f t="shared" si="0"/>
        <v>148604</v>
      </c>
    </row>
    <row r="12" spans="1:18" ht="13.5" thickBot="1" x14ac:dyDescent="0.25">
      <c r="A12" s="533">
        <v>42529</v>
      </c>
      <c r="B12" s="534">
        <v>25275</v>
      </c>
      <c r="C12" s="535">
        <f>3838+16110</f>
        <v>19948</v>
      </c>
      <c r="D12" s="536">
        <f>14693+1779</f>
        <v>16472</v>
      </c>
      <c r="E12" s="535">
        <f>646+13900</f>
        <v>14546</v>
      </c>
      <c r="F12" s="536">
        <v>431</v>
      </c>
      <c r="G12" s="535">
        <f>300+1911</f>
        <v>2211</v>
      </c>
      <c r="H12" s="536">
        <f>9256+203</f>
        <v>9459</v>
      </c>
      <c r="I12" s="535">
        <f>3035+13423</f>
        <v>16458</v>
      </c>
      <c r="J12" s="550">
        <f>19242+951</f>
        <v>20193</v>
      </c>
      <c r="K12" s="548">
        <f>2426+1848</f>
        <v>4274</v>
      </c>
      <c r="L12" s="536">
        <v>19532</v>
      </c>
      <c r="M12" s="535">
        <f>2597+13014</f>
        <v>15611</v>
      </c>
      <c r="N12" s="536">
        <v>1958</v>
      </c>
      <c r="O12" s="539">
        <v>738</v>
      </c>
      <c r="P12" s="536">
        <v>5631</v>
      </c>
      <c r="Q12" s="535">
        <v>2110</v>
      </c>
      <c r="R12" s="540">
        <f t="shared" si="0"/>
        <v>174847</v>
      </c>
    </row>
    <row r="13" spans="1:18" ht="13.5" thickBot="1" x14ac:dyDescent="0.25">
      <c r="A13" s="533">
        <v>42530</v>
      </c>
      <c r="B13" s="534">
        <f>34022+180</f>
        <v>34202</v>
      </c>
      <c r="C13" s="535">
        <f>9464+8984</f>
        <v>18448</v>
      </c>
      <c r="D13" s="536">
        <f>24583+649+4682</f>
        <v>29914</v>
      </c>
      <c r="E13" s="535">
        <f>4308+8149</f>
        <v>12457</v>
      </c>
      <c r="F13" s="536">
        <v>8981</v>
      </c>
      <c r="G13" s="535">
        <v>10266</v>
      </c>
      <c r="H13" s="536">
        <f>9153+143</f>
        <v>9296</v>
      </c>
      <c r="I13" s="535">
        <f>5204+8758</f>
        <v>13962</v>
      </c>
      <c r="J13" s="536">
        <v>17847</v>
      </c>
      <c r="K13" s="535">
        <f>2363+4866</f>
        <v>7229</v>
      </c>
      <c r="L13" s="536">
        <f>20189+3122</f>
        <v>23311</v>
      </c>
      <c r="M13" s="535">
        <f>1550+9326</f>
        <v>10876</v>
      </c>
      <c r="N13" s="536">
        <v>10262</v>
      </c>
      <c r="O13" s="539">
        <f>51+1088</f>
        <v>1139</v>
      </c>
      <c r="P13" s="536">
        <v>3561</v>
      </c>
      <c r="Q13" s="535">
        <v>8086</v>
      </c>
      <c r="R13" s="540">
        <f t="shared" si="0"/>
        <v>219837</v>
      </c>
    </row>
    <row r="14" spans="1:18" ht="13.5" thickBot="1" x14ac:dyDescent="0.25">
      <c r="A14" s="533">
        <v>42531</v>
      </c>
      <c r="B14" s="534">
        <v>20169</v>
      </c>
      <c r="C14" s="535">
        <f>4368+17939</f>
        <v>22307</v>
      </c>
      <c r="D14" s="536">
        <v>35115</v>
      </c>
      <c r="E14" s="535">
        <f>6056+18839</f>
        <v>24895</v>
      </c>
      <c r="F14" s="536">
        <v>7204</v>
      </c>
      <c r="G14" s="535">
        <f>872+5128</f>
        <v>6000</v>
      </c>
      <c r="H14" s="536">
        <f>55900+458</f>
        <v>56358</v>
      </c>
      <c r="I14" s="535">
        <f>5038+7217</f>
        <v>12255</v>
      </c>
      <c r="J14" s="536">
        <f>24788+1313.8</f>
        <v>26101.8</v>
      </c>
      <c r="K14" s="535">
        <f>4261+12491</f>
        <v>16752</v>
      </c>
      <c r="L14" s="536">
        <f>33451+1920</f>
        <v>35371</v>
      </c>
      <c r="M14" s="535">
        <f>2115+10103</f>
        <v>12218</v>
      </c>
      <c r="N14" s="536">
        <v>9136</v>
      </c>
      <c r="O14" s="539">
        <v>1438</v>
      </c>
      <c r="P14" s="536">
        <v>10188</v>
      </c>
      <c r="Q14" s="535">
        <v>6242</v>
      </c>
      <c r="R14" s="540">
        <f t="shared" si="0"/>
        <v>301749.8</v>
      </c>
    </row>
    <row r="15" spans="1:18" ht="13.5" thickBot="1" x14ac:dyDescent="0.25">
      <c r="A15" s="533">
        <v>42532</v>
      </c>
      <c r="B15" s="534">
        <f>55724-3200</f>
        <v>52524</v>
      </c>
      <c r="C15" s="535">
        <f>3230+25366</f>
        <v>28596</v>
      </c>
      <c r="D15" s="536">
        <f>61478+3213</f>
        <v>64691</v>
      </c>
      <c r="E15" s="535">
        <f>8057+29181</f>
        <v>37238</v>
      </c>
      <c r="F15" s="536">
        <v>11673</v>
      </c>
      <c r="G15" s="535">
        <f>520+8841</f>
        <v>9361</v>
      </c>
      <c r="H15" s="536">
        <v>24973</v>
      </c>
      <c r="I15" s="535">
        <f>1407+28816</f>
        <v>30223</v>
      </c>
      <c r="J15" s="536">
        <v>43955</v>
      </c>
      <c r="K15" s="535">
        <f>5800+23193</f>
        <v>28993</v>
      </c>
      <c r="L15" s="536">
        <v>65210</v>
      </c>
      <c r="M15" s="548">
        <f>22240+11360</f>
        <v>33600</v>
      </c>
      <c r="N15" s="536">
        <v>19316</v>
      </c>
      <c r="O15" s="539">
        <f>400+3477</f>
        <v>3877</v>
      </c>
      <c r="P15" s="536">
        <v>20024</v>
      </c>
      <c r="Q15" s="535">
        <v>8707</v>
      </c>
      <c r="R15" s="540">
        <f t="shared" si="0"/>
        <v>482961</v>
      </c>
    </row>
    <row r="16" spans="1:18" s="532" customFormat="1" ht="13.5" thickBot="1" x14ac:dyDescent="0.25">
      <c r="A16" s="523">
        <v>42533</v>
      </c>
      <c r="B16" s="524"/>
      <c r="C16" s="541"/>
      <c r="D16" s="542"/>
      <c r="E16" s="541"/>
      <c r="F16" s="542"/>
      <c r="G16" s="541"/>
      <c r="H16" s="542"/>
      <c r="I16" s="541"/>
      <c r="J16" s="542"/>
      <c r="K16" s="541"/>
      <c r="L16" s="542"/>
      <c r="M16" s="541"/>
      <c r="N16" s="542"/>
      <c r="O16" s="543"/>
      <c r="P16" s="542"/>
      <c r="Q16" s="541"/>
      <c r="R16" s="531">
        <f t="shared" si="0"/>
        <v>0</v>
      </c>
    </row>
    <row r="17" spans="1:18" ht="13.5" thickBot="1" x14ac:dyDescent="0.25">
      <c r="A17" s="533">
        <v>42534</v>
      </c>
      <c r="B17" s="534">
        <v>3074</v>
      </c>
      <c r="C17" s="535">
        <f>5005+8869</f>
        <v>13874</v>
      </c>
      <c r="D17" s="536">
        <f>14190+448</f>
        <v>14638</v>
      </c>
      <c r="E17" s="535">
        <v>9180</v>
      </c>
      <c r="F17" s="536">
        <f>3725+2240</f>
        <v>5965</v>
      </c>
      <c r="G17" s="535">
        <v>5155</v>
      </c>
      <c r="H17" s="536">
        <v>3765</v>
      </c>
      <c r="I17" s="535">
        <f>690+5556</f>
        <v>6246</v>
      </c>
      <c r="J17" s="536">
        <f>8517+5822</f>
        <v>14339</v>
      </c>
      <c r="K17" s="535">
        <f>1212+3083</f>
        <v>4295</v>
      </c>
      <c r="L17" s="536">
        <v>5507</v>
      </c>
      <c r="M17" s="535">
        <v>9661</v>
      </c>
      <c r="N17" s="544">
        <v>2290</v>
      </c>
      <c r="O17" s="539">
        <f>490+997</f>
        <v>1487</v>
      </c>
      <c r="P17" s="536">
        <v>1870</v>
      </c>
      <c r="Q17" s="535">
        <v>4162</v>
      </c>
      <c r="R17" s="540">
        <f t="shared" si="0"/>
        <v>105508</v>
      </c>
    </row>
    <row r="18" spans="1:18" ht="13.5" thickBot="1" x14ac:dyDescent="0.25">
      <c r="A18" s="533">
        <v>42535</v>
      </c>
      <c r="B18" s="534">
        <v>7484</v>
      </c>
      <c r="C18" s="535">
        <v>10879</v>
      </c>
      <c r="D18" s="536">
        <f>17672+2543</f>
        <v>20215</v>
      </c>
      <c r="E18" s="535">
        <f>2196+8533</f>
        <v>10729</v>
      </c>
      <c r="F18" s="536">
        <f>11125+1019</f>
        <v>12144</v>
      </c>
      <c r="G18" s="535">
        <v>4646</v>
      </c>
      <c r="H18" s="536">
        <f>11878+702</f>
        <v>12580</v>
      </c>
      <c r="I18" s="535">
        <f>242+12201</f>
        <v>12443</v>
      </c>
      <c r="J18" s="536">
        <v>13686</v>
      </c>
      <c r="K18" s="535">
        <f>3822+4345</f>
        <v>8167</v>
      </c>
      <c r="L18" s="536">
        <f>14360+630</f>
        <v>14990</v>
      </c>
      <c r="M18" s="535">
        <v>11760</v>
      </c>
      <c r="N18" s="536">
        <v>4031</v>
      </c>
      <c r="O18" s="539"/>
      <c r="P18" s="536">
        <v>938</v>
      </c>
      <c r="Q18" s="535">
        <v>6921</v>
      </c>
      <c r="R18" s="540">
        <f t="shared" si="0"/>
        <v>151613</v>
      </c>
    </row>
    <row r="19" spans="1:18" ht="13.5" thickBot="1" x14ac:dyDescent="0.25">
      <c r="A19" s="533">
        <v>42536</v>
      </c>
      <c r="B19" s="534">
        <v>38529</v>
      </c>
      <c r="C19" s="535">
        <f>1913+13820</f>
        <v>15733</v>
      </c>
      <c r="D19" s="534">
        <f>46005+315</f>
        <v>46320</v>
      </c>
      <c r="E19" s="535">
        <f>3516+16249</f>
        <v>19765</v>
      </c>
      <c r="F19" s="536">
        <v>9994</v>
      </c>
      <c r="G19" s="535">
        <v>5194</v>
      </c>
      <c r="H19" s="536">
        <v>30335</v>
      </c>
      <c r="I19" s="535">
        <f>3623+14424</f>
        <v>18047</v>
      </c>
      <c r="J19" s="536">
        <f>19738+882</f>
        <v>20620</v>
      </c>
      <c r="K19" s="535">
        <f>4383+14037</f>
        <v>18420</v>
      </c>
      <c r="L19" s="536">
        <f>24230+3639</f>
        <v>27869</v>
      </c>
      <c r="M19" s="535">
        <f>2412+10203</f>
        <v>12615</v>
      </c>
      <c r="N19" s="536">
        <v>20471.75</v>
      </c>
      <c r="O19" s="539">
        <f>262+1791.75</f>
        <v>2053.75</v>
      </c>
      <c r="P19" s="536">
        <v>3559</v>
      </c>
      <c r="Q19" s="535">
        <v>4274</v>
      </c>
      <c r="R19" s="540">
        <f t="shared" si="0"/>
        <v>293799.5</v>
      </c>
    </row>
    <row r="20" spans="1:18" ht="13.5" thickBot="1" x14ac:dyDescent="0.25">
      <c r="A20" s="533">
        <v>42537</v>
      </c>
      <c r="B20" s="534">
        <v>48624</v>
      </c>
      <c r="C20" s="535">
        <v>25981</v>
      </c>
      <c r="D20" s="536">
        <f>57603+1190</f>
        <v>58793</v>
      </c>
      <c r="E20" s="535">
        <v>29851</v>
      </c>
      <c r="F20" s="536">
        <v>21004</v>
      </c>
      <c r="G20" s="535">
        <v>15014</v>
      </c>
      <c r="H20" s="536">
        <v>33629</v>
      </c>
      <c r="I20" s="535">
        <f>1440+24578</f>
        <v>26018</v>
      </c>
      <c r="J20" s="536">
        <v>21373</v>
      </c>
      <c r="K20" s="535">
        <f>5577+14122</f>
        <v>19699</v>
      </c>
      <c r="L20" s="536">
        <f>40094+1967</f>
        <v>42061</v>
      </c>
      <c r="M20" s="535">
        <f>4034+17126</f>
        <v>21160</v>
      </c>
      <c r="N20" s="536">
        <v>12785</v>
      </c>
      <c r="O20" s="539">
        <f>1136.75+7532</f>
        <v>8668.75</v>
      </c>
      <c r="P20" s="536">
        <f>21640+1328</f>
        <v>22968</v>
      </c>
      <c r="Q20" s="535">
        <v>5687</v>
      </c>
      <c r="R20" s="540">
        <f t="shared" si="0"/>
        <v>413315.75</v>
      </c>
    </row>
    <row r="21" spans="1:18" ht="13.5" thickBot="1" x14ac:dyDescent="0.25">
      <c r="A21" s="533">
        <v>42538</v>
      </c>
      <c r="B21" s="534">
        <v>34900</v>
      </c>
      <c r="C21" s="535">
        <f>6666+9776</f>
        <v>16442</v>
      </c>
      <c r="D21" s="536">
        <f>71758-10+263</f>
        <v>72011</v>
      </c>
      <c r="E21" s="535">
        <f>9210+20174</f>
        <v>29384</v>
      </c>
      <c r="F21" s="536">
        <v>27595</v>
      </c>
      <c r="G21" s="535">
        <v>14694</v>
      </c>
      <c r="H21" s="536">
        <v>38941</v>
      </c>
      <c r="I21" s="535">
        <v>11650</v>
      </c>
      <c r="J21" s="550">
        <v>30133</v>
      </c>
      <c r="K21" s="548">
        <f>2405+8427</f>
        <v>10832</v>
      </c>
      <c r="L21" s="536">
        <v>48553</v>
      </c>
      <c r="M21" s="535">
        <f>6789+21277-1000</f>
        <v>27066</v>
      </c>
      <c r="N21" s="536">
        <f>20198+4525</f>
        <v>24723</v>
      </c>
      <c r="O21" s="539">
        <f>1778+8670</f>
        <v>10448</v>
      </c>
      <c r="P21" s="536">
        <v>18469</v>
      </c>
      <c r="Q21" s="535">
        <v>3692</v>
      </c>
      <c r="R21" s="540">
        <f t="shared" si="0"/>
        <v>419533</v>
      </c>
    </row>
    <row r="22" spans="1:18" ht="13.5" thickBot="1" x14ac:dyDescent="0.25">
      <c r="A22" s="533">
        <v>42539</v>
      </c>
      <c r="B22" s="534">
        <v>32961</v>
      </c>
      <c r="C22" s="535">
        <f>23105-665</f>
        <v>22440</v>
      </c>
      <c r="D22" s="534">
        <f>84679+561+168</f>
        <v>85408</v>
      </c>
      <c r="E22" s="535">
        <f>7393+42877</f>
        <v>50270</v>
      </c>
      <c r="F22" s="536">
        <v>48542</v>
      </c>
      <c r="G22" s="535">
        <v>7735</v>
      </c>
      <c r="H22" s="536">
        <f>42173+829</f>
        <v>43002</v>
      </c>
      <c r="I22" s="535">
        <f>2320+18336</f>
        <v>20656</v>
      </c>
      <c r="J22" s="536">
        <v>33740</v>
      </c>
      <c r="K22" s="535">
        <f>2786+22379</f>
        <v>25165</v>
      </c>
      <c r="L22" s="536">
        <f>63313+1206</f>
        <v>64519</v>
      </c>
      <c r="M22" s="535">
        <f>1793+26544</f>
        <v>28337</v>
      </c>
      <c r="N22" s="536">
        <v>24782</v>
      </c>
      <c r="O22" s="539">
        <v>9349</v>
      </c>
      <c r="P22" s="536">
        <v>34958</v>
      </c>
      <c r="Q22" s="535">
        <v>7021</v>
      </c>
      <c r="R22" s="540">
        <f t="shared" si="0"/>
        <v>538885</v>
      </c>
    </row>
    <row r="23" spans="1:18" s="532" customFormat="1" ht="13.5" thickBot="1" x14ac:dyDescent="0.25">
      <c r="A23" s="523">
        <v>42540</v>
      </c>
      <c r="B23" s="524"/>
      <c r="C23" s="541"/>
      <c r="D23" s="542"/>
      <c r="E23" s="541"/>
      <c r="F23" s="542"/>
      <c r="G23" s="541"/>
      <c r="H23" s="542"/>
      <c r="I23" s="541"/>
      <c r="J23" s="542"/>
      <c r="K23" s="541"/>
      <c r="L23" s="542"/>
      <c r="M23" s="541"/>
      <c r="N23" s="613"/>
      <c r="O23" s="614"/>
      <c r="P23" s="542"/>
      <c r="Q23" s="541"/>
      <c r="R23" s="531">
        <f t="shared" si="0"/>
        <v>0</v>
      </c>
    </row>
    <row r="24" spans="1:18" s="532" customFormat="1" ht="13.5" thickBot="1" x14ac:dyDescent="0.25">
      <c r="A24" s="523">
        <v>42541</v>
      </c>
      <c r="B24" s="524"/>
      <c r="C24" s="541"/>
      <c r="D24" s="524"/>
      <c r="E24" s="541"/>
      <c r="F24" s="542"/>
      <c r="G24" s="541"/>
      <c r="H24" s="542"/>
      <c r="I24" s="541"/>
      <c r="J24" s="542"/>
      <c r="K24" s="541"/>
      <c r="L24" s="542"/>
      <c r="M24" s="541"/>
      <c r="N24" s="542"/>
      <c r="O24" s="615"/>
      <c r="P24" s="542"/>
      <c r="Q24" s="541"/>
      <c r="R24" s="531">
        <f t="shared" si="0"/>
        <v>0</v>
      </c>
    </row>
    <row r="25" spans="1:18" ht="13.5" thickBot="1" x14ac:dyDescent="0.25">
      <c r="A25" s="533">
        <v>42542</v>
      </c>
      <c r="B25" s="534">
        <v>4561</v>
      </c>
      <c r="C25" s="535">
        <f>4864+8159</f>
        <v>13023</v>
      </c>
      <c r="D25" s="536">
        <f>10026+1159</f>
        <v>11185</v>
      </c>
      <c r="E25" s="535">
        <f>3337+5118</f>
        <v>8455</v>
      </c>
      <c r="F25" s="536">
        <v>2798</v>
      </c>
      <c r="G25" s="535">
        <v>591</v>
      </c>
      <c r="H25" s="536">
        <f>3701+595</f>
        <v>4296</v>
      </c>
      <c r="I25" s="535">
        <f>915+6129</f>
        <v>7044</v>
      </c>
      <c r="J25" s="536">
        <f>3330+796</f>
        <v>4126</v>
      </c>
      <c r="K25" s="535">
        <v>6739</v>
      </c>
      <c r="L25" s="536">
        <v>5968</v>
      </c>
      <c r="M25" s="535">
        <v>5138</v>
      </c>
      <c r="N25" s="536">
        <v>469</v>
      </c>
      <c r="O25" s="539">
        <v>1290.75</v>
      </c>
      <c r="P25" s="536">
        <f>4947+960</f>
        <v>5907</v>
      </c>
      <c r="Q25" s="535">
        <v>329</v>
      </c>
      <c r="R25" s="540">
        <f t="shared" si="0"/>
        <v>81919.75</v>
      </c>
    </row>
    <row r="26" spans="1:18" ht="13.5" thickBot="1" x14ac:dyDescent="0.25">
      <c r="A26" s="533">
        <v>42543</v>
      </c>
      <c r="B26" s="534">
        <v>8586</v>
      </c>
      <c r="C26" s="535">
        <v>14406</v>
      </c>
      <c r="D26" s="536">
        <v>2105</v>
      </c>
      <c r="E26" s="535">
        <f>5680+6656</f>
        <v>12336</v>
      </c>
      <c r="F26" s="536">
        <v>8808</v>
      </c>
      <c r="G26" s="535">
        <v>1936</v>
      </c>
      <c r="H26" s="536">
        <v>7859</v>
      </c>
      <c r="I26" s="535">
        <v>12629</v>
      </c>
      <c r="J26" s="536">
        <v>7040</v>
      </c>
      <c r="K26" s="535">
        <v>1500</v>
      </c>
      <c r="L26" s="536">
        <v>4926</v>
      </c>
      <c r="M26" s="535">
        <v>1945</v>
      </c>
      <c r="N26" s="536">
        <v>4635</v>
      </c>
      <c r="O26" s="539">
        <v>100</v>
      </c>
      <c r="P26" s="536">
        <v>8464</v>
      </c>
      <c r="Q26" s="535">
        <v>3307</v>
      </c>
      <c r="R26" s="540">
        <f t="shared" si="0"/>
        <v>100582</v>
      </c>
    </row>
    <row r="27" spans="1:18" ht="13.5" thickBot="1" x14ac:dyDescent="0.25">
      <c r="A27" s="533">
        <v>42544</v>
      </c>
      <c r="B27" s="534">
        <v>25166</v>
      </c>
      <c r="C27" s="535">
        <f>2936+12293</f>
        <v>15229</v>
      </c>
      <c r="D27" s="536">
        <f>32171+482</f>
        <v>32653</v>
      </c>
      <c r="E27" s="535">
        <f>7657+12810</f>
        <v>20467</v>
      </c>
      <c r="F27" s="536">
        <v>6423</v>
      </c>
      <c r="G27" s="535">
        <f>1100+1850</f>
        <v>2950</v>
      </c>
      <c r="H27" s="536">
        <f>9000+440</f>
        <v>9440</v>
      </c>
      <c r="I27" s="535">
        <f>5434+6098</f>
        <v>11532</v>
      </c>
      <c r="J27" s="536">
        <v>13044</v>
      </c>
      <c r="K27" s="535">
        <v>4176</v>
      </c>
      <c r="L27" s="536">
        <v>19992</v>
      </c>
      <c r="M27" s="535">
        <v>2319</v>
      </c>
      <c r="N27" s="536">
        <v>7301</v>
      </c>
      <c r="O27" s="535">
        <v>803</v>
      </c>
      <c r="P27" s="536">
        <v>4403</v>
      </c>
      <c r="Q27" s="535">
        <v>4729</v>
      </c>
      <c r="R27" s="540">
        <f t="shared" si="0"/>
        <v>180627</v>
      </c>
    </row>
    <row r="28" spans="1:18" ht="13.5" thickBot="1" x14ac:dyDescent="0.25">
      <c r="A28" s="533">
        <v>42545</v>
      </c>
      <c r="B28" s="534">
        <f>25163-1100</f>
        <v>24063</v>
      </c>
      <c r="C28" s="535">
        <v>14070</v>
      </c>
      <c r="D28" s="536">
        <v>15765</v>
      </c>
      <c r="E28" s="535">
        <f>5990+12871</f>
        <v>18861</v>
      </c>
      <c r="F28" s="536">
        <f>7767+686</f>
        <v>8453</v>
      </c>
      <c r="G28" s="535">
        <v>4090</v>
      </c>
      <c r="H28" s="536">
        <v>30899</v>
      </c>
      <c r="I28" s="535">
        <v>19707</v>
      </c>
      <c r="J28" s="536">
        <f>24589-2990+1852</f>
        <v>23451</v>
      </c>
      <c r="K28" s="535">
        <f>3693+8704</f>
        <v>12397</v>
      </c>
      <c r="L28" s="536">
        <v>18720</v>
      </c>
      <c r="M28" s="535">
        <v>10181</v>
      </c>
      <c r="N28" s="536">
        <v>29059</v>
      </c>
      <c r="O28" s="539">
        <v>4285.8</v>
      </c>
      <c r="P28" s="536">
        <v>3567</v>
      </c>
      <c r="Q28" s="535">
        <v>8960</v>
      </c>
      <c r="R28" s="540">
        <f>SUM(B28:Q28)</f>
        <v>246528.8</v>
      </c>
    </row>
    <row r="29" spans="1:18" ht="13.5" thickBot="1" x14ac:dyDescent="0.25">
      <c r="A29" s="533">
        <v>42546</v>
      </c>
      <c r="B29" s="534">
        <v>26999</v>
      </c>
      <c r="C29" s="535">
        <f>26169+300</f>
        <v>26469</v>
      </c>
      <c r="D29" s="536">
        <f>60300-347</f>
        <v>59953</v>
      </c>
      <c r="E29" s="535">
        <f>46483+345</f>
        <v>46828</v>
      </c>
      <c r="F29" s="536">
        <v>37871</v>
      </c>
      <c r="G29" s="535">
        <f>5335+16580</f>
        <v>21915</v>
      </c>
      <c r="H29" s="536">
        <v>48868</v>
      </c>
      <c r="I29" s="535">
        <v>16726</v>
      </c>
      <c r="J29" s="536">
        <v>26434</v>
      </c>
      <c r="K29" s="535">
        <v>11567</v>
      </c>
      <c r="L29" s="536">
        <f>61920+941</f>
        <v>62861</v>
      </c>
      <c r="M29" s="535">
        <v>25763</v>
      </c>
      <c r="N29" s="536">
        <v>25479</v>
      </c>
      <c r="O29" s="539">
        <f>2900+5072</f>
        <v>7972</v>
      </c>
      <c r="P29" s="536">
        <v>20383</v>
      </c>
      <c r="Q29" s="535">
        <v>10663</v>
      </c>
      <c r="R29" s="540">
        <f t="shared" si="0"/>
        <v>476751</v>
      </c>
    </row>
    <row r="30" spans="1:18" s="532" customFormat="1" ht="13.5" thickBot="1" x14ac:dyDescent="0.25">
      <c r="A30" s="523">
        <v>42547</v>
      </c>
      <c r="B30" s="524"/>
      <c r="C30" s="541"/>
      <c r="D30" s="542"/>
      <c r="E30" s="541"/>
      <c r="F30" s="542"/>
      <c r="G30" s="541"/>
      <c r="H30" s="542"/>
      <c r="I30" s="541"/>
      <c r="J30" s="542"/>
      <c r="K30" s="541"/>
      <c r="L30" s="542"/>
      <c r="M30" s="541"/>
      <c r="N30" s="542"/>
      <c r="O30" s="543"/>
      <c r="P30" s="542"/>
      <c r="Q30" s="541"/>
      <c r="R30" s="531">
        <f t="shared" si="0"/>
        <v>0</v>
      </c>
    </row>
    <row r="31" spans="1:18" ht="13.5" thickBot="1" x14ac:dyDescent="0.25">
      <c r="A31" s="533">
        <v>42548</v>
      </c>
      <c r="B31" s="534">
        <v>9742</v>
      </c>
      <c r="C31" s="535">
        <v>10625</v>
      </c>
      <c r="D31" s="536">
        <f>15846+2405</f>
        <v>18251</v>
      </c>
      <c r="E31" s="535">
        <v>7800</v>
      </c>
      <c r="F31" s="536">
        <v>8156</v>
      </c>
      <c r="G31" s="535">
        <f>1990+2696</f>
        <v>4686</v>
      </c>
      <c r="H31" s="536">
        <f>8862+1239</f>
        <v>10101</v>
      </c>
      <c r="I31" s="535">
        <v>13841</v>
      </c>
      <c r="J31" s="536">
        <v>8301</v>
      </c>
      <c r="K31" s="535">
        <v>10054</v>
      </c>
      <c r="L31" s="536">
        <v>12376</v>
      </c>
      <c r="M31" s="535">
        <v>13808</v>
      </c>
      <c r="N31" s="536">
        <v>13057</v>
      </c>
      <c r="O31" s="539">
        <v>2935</v>
      </c>
      <c r="P31" s="536">
        <f>11931+1043</f>
        <v>12974</v>
      </c>
      <c r="Q31" s="535">
        <f>200+16873</f>
        <v>17073</v>
      </c>
      <c r="R31" s="540">
        <f t="shared" si="0"/>
        <v>173780</v>
      </c>
    </row>
    <row r="32" spans="1:18" ht="13.5" thickBot="1" x14ac:dyDescent="0.25">
      <c r="A32" s="533">
        <v>42549</v>
      </c>
      <c r="B32" s="534">
        <v>9404</v>
      </c>
      <c r="C32" s="535">
        <v>14145</v>
      </c>
      <c r="D32" s="536">
        <v>27006</v>
      </c>
      <c r="E32" s="535">
        <v>17959</v>
      </c>
      <c r="F32" s="536">
        <v>6259</v>
      </c>
      <c r="G32" s="535">
        <f>3305+853</f>
        <v>4158</v>
      </c>
      <c r="H32" s="536">
        <v>18674</v>
      </c>
      <c r="I32" s="535">
        <v>8894</v>
      </c>
      <c r="J32" s="536">
        <v>12962</v>
      </c>
      <c r="K32" s="535">
        <f>2143+1750</f>
        <v>3893</v>
      </c>
      <c r="L32" s="536">
        <v>12960</v>
      </c>
      <c r="M32" s="535">
        <v>15041</v>
      </c>
      <c r="N32" s="536">
        <v>14537</v>
      </c>
      <c r="O32" s="539">
        <v>3913</v>
      </c>
      <c r="P32" s="536">
        <v>6128</v>
      </c>
      <c r="Q32" s="535">
        <v>2980</v>
      </c>
      <c r="R32" s="540">
        <f t="shared" si="0"/>
        <v>178913</v>
      </c>
    </row>
    <row r="33" spans="1:18" ht="13.5" thickBot="1" x14ac:dyDescent="0.25">
      <c r="A33" s="533">
        <v>42550</v>
      </c>
      <c r="B33" s="534">
        <v>15454</v>
      </c>
      <c r="C33" s="535">
        <v>19492</v>
      </c>
      <c r="D33" s="536">
        <f>14826+2224</f>
        <v>17050</v>
      </c>
      <c r="E33" s="535">
        <v>25436</v>
      </c>
      <c r="F33" s="536">
        <f>5433+495</f>
        <v>5928</v>
      </c>
      <c r="G33" s="535">
        <f>3320+7072</f>
        <v>10392</v>
      </c>
      <c r="H33" s="536">
        <v>14002</v>
      </c>
      <c r="I33" s="535">
        <v>13225</v>
      </c>
      <c r="J33" s="536">
        <f>9080+937</f>
        <v>10017</v>
      </c>
      <c r="K33" s="535">
        <f>5448+3812</f>
        <v>9260</v>
      </c>
      <c r="L33" s="536">
        <f>16929+728</f>
        <v>17657</v>
      </c>
      <c r="M33" s="535">
        <v>23010</v>
      </c>
      <c r="N33" s="536">
        <v>11860.9</v>
      </c>
      <c r="O33" s="539">
        <f>1281+1660</f>
        <v>2941</v>
      </c>
      <c r="P33" s="536">
        <v>7263</v>
      </c>
      <c r="Q33" s="535">
        <v>4692</v>
      </c>
      <c r="R33" s="540">
        <f t="shared" si="0"/>
        <v>207679.9</v>
      </c>
    </row>
    <row r="34" spans="1:18" ht="13.5" thickBot="1" x14ac:dyDescent="0.25">
      <c r="A34" s="533">
        <v>42551</v>
      </c>
      <c r="B34" s="534">
        <v>18998</v>
      </c>
      <c r="C34" s="535">
        <f>3527+10815</f>
        <v>14342</v>
      </c>
      <c r="D34" s="536">
        <f>29321+4932</f>
        <v>34253</v>
      </c>
      <c r="E34" s="535">
        <f>7643+19524</f>
        <v>27167</v>
      </c>
      <c r="F34" s="536">
        <f>8930+3904</f>
        <v>12834</v>
      </c>
      <c r="G34" s="535">
        <f>2939+5855</f>
        <v>8794</v>
      </c>
      <c r="H34" s="536">
        <f>16696+5854</f>
        <v>22550</v>
      </c>
      <c r="I34" s="535">
        <f>700+14882</f>
        <v>15582</v>
      </c>
      <c r="J34" s="536">
        <v>23356</v>
      </c>
      <c r="K34" s="535">
        <f>2220+4400</f>
        <v>6620</v>
      </c>
      <c r="L34" s="536">
        <f>27138+1638</f>
        <v>28776</v>
      </c>
      <c r="M34" s="535">
        <f>5246+15161</f>
        <v>20407</v>
      </c>
      <c r="N34" s="536">
        <v>12407</v>
      </c>
      <c r="O34" s="539">
        <v>603</v>
      </c>
      <c r="P34" s="536">
        <f>9417+665</f>
        <v>10082</v>
      </c>
      <c r="Q34" s="535">
        <v>8081</v>
      </c>
      <c r="R34" s="540">
        <f t="shared" si="0"/>
        <v>264852</v>
      </c>
    </row>
    <row r="35" spans="1:18" ht="13.5" thickBot="1" x14ac:dyDescent="0.25">
      <c r="A35" s="533"/>
      <c r="B35" s="534"/>
      <c r="C35" s="535"/>
      <c r="D35" s="536"/>
      <c r="E35" s="535"/>
      <c r="F35" s="536"/>
      <c r="G35" s="535"/>
      <c r="H35" s="536"/>
      <c r="I35" s="535"/>
      <c r="J35" s="536"/>
      <c r="K35" s="535"/>
      <c r="L35" s="536"/>
      <c r="M35" s="535"/>
      <c r="N35" s="536"/>
      <c r="O35" s="539"/>
      <c r="P35" s="536"/>
      <c r="Q35" s="535"/>
      <c r="R35" s="540">
        <f>SUM(B35:Q35)</f>
        <v>0</v>
      </c>
    </row>
    <row r="36" spans="1:18" ht="13.5" thickBot="1" x14ac:dyDescent="0.25">
      <c r="A36" s="552" t="s">
        <v>8</v>
      </c>
      <c r="B36" s="553">
        <f>SUM(B5:B35)</f>
        <v>555865</v>
      </c>
      <c r="C36" s="554">
        <f t="shared" ref="C36:P36" si="1">SUM(C5:C35)</f>
        <v>436255</v>
      </c>
      <c r="D36" s="553">
        <f t="shared" si="1"/>
        <v>841860</v>
      </c>
      <c r="E36" s="554">
        <f t="shared" si="1"/>
        <v>535258</v>
      </c>
      <c r="F36" s="553">
        <f t="shared" si="1"/>
        <v>311064</v>
      </c>
      <c r="G36" s="554">
        <f t="shared" si="1"/>
        <v>179475</v>
      </c>
      <c r="H36" s="553">
        <f t="shared" si="1"/>
        <v>560427.30000000005</v>
      </c>
      <c r="I36" s="554">
        <f t="shared" si="1"/>
        <v>368082</v>
      </c>
      <c r="J36" s="553">
        <f t="shared" si="1"/>
        <v>494901.8</v>
      </c>
      <c r="K36" s="554">
        <f t="shared" si="1"/>
        <v>282716</v>
      </c>
      <c r="L36" s="555">
        <f t="shared" si="1"/>
        <v>670669</v>
      </c>
      <c r="M36" s="556">
        <f t="shared" si="1"/>
        <v>388544</v>
      </c>
      <c r="N36" s="555">
        <f t="shared" si="1"/>
        <v>317455.65000000002</v>
      </c>
      <c r="O36" s="557">
        <f t="shared" si="1"/>
        <v>85061.05</v>
      </c>
      <c r="P36" s="558">
        <f t="shared" si="1"/>
        <v>249222</v>
      </c>
      <c r="Q36" s="559">
        <f>SUM(Q5:Q35)</f>
        <v>162415</v>
      </c>
      <c r="R36" s="560"/>
    </row>
    <row r="37" spans="1:18" ht="13.5" thickBot="1" x14ac:dyDescent="0.25">
      <c r="A37" s="561"/>
      <c r="B37" s="562" t="s">
        <v>107</v>
      </c>
      <c r="C37" s="563">
        <f>+B36+C36</f>
        <v>992120</v>
      </c>
      <c r="D37" s="564"/>
      <c r="E37" s="565">
        <f>+D36+E36</f>
        <v>1377118</v>
      </c>
      <c r="F37" s="566"/>
      <c r="G37" s="567">
        <f>+F36+G36</f>
        <v>490539</v>
      </c>
      <c r="H37" s="568"/>
      <c r="I37" s="563">
        <f>+H36+I36</f>
        <v>928509.3</v>
      </c>
      <c r="J37" s="566"/>
      <c r="K37" s="567">
        <f>+J36+K36</f>
        <v>777617.8</v>
      </c>
      <c r="L37" s="569"/>
      <c r="M37" s="569">
        <f>+L36+M36</f>
        <v>1059213</v>
      </c>
      <c r="N37" s="564"/>
      <c r="O37" s="570">
        <f>+N36+O36</f>
        <v>402516.7</v>
      </c>
      <c r="P37" s="571"/>
      <c r="Q37" s="565">
        <f>+P36+Q36</f>
        <v>411637</v>
      </c>
      <c r="R37" s="563">
        <f>SUM(R5:R35)</f>
        <v>6439270.7999999998</v>
      </c>
    </row>
    <row r="38" spans="1:18" ht="13.5" thickBot="1" x14ac:dyDescent="0.25">
      <c r="B38" s="572">
        <f>+B36/C37*100</f>
        <v>56.028000645083253</v>
      </c>
      <c r="C38" s="572">
        <f>+C36/C37*100</f>
        <v>43.971999354916747</v>
      </c>
      <c r="D38" s="572">
        <f>+D36/E37*100</f>
        <v>61.132016283281466</v>
      </c>
      <c r="E38" s="572">
        <f>+E36/E37*100</f>
        <v>38.867983716718541</v>
      </c>
      <c r="F38" s="572">
        <f>+F36/G37*100</f>
        <v>63.412695015075251</v>
      </c>
      <c r="G38" s="572">
        <f>+G36/G37*100</f>
        <v>36.587304984924742</v>
      </c>
      <c r="H38" s="572">
        <f>+H36/I37*100</f>
        <v>60.357747628375932</v>
      </c>
      <c r="I38" s="572">
        <f>+I36/I37*100</f>
        <v>39.642252371624068</v>
      </c>
      <c r="J38" s="572">
        <f>+J36/K37*100</f>
        <v>63.643321950706365</v>
      </c>
      <c r="K38" s="572">
        <f>+K36/K37*100</f>
        <v>36.35667804929362</v>
      </c>
      <c r="L38" s="572">
        <f>+L36/M37*100</f>
        <v>63.317670761216107</v>
      </c>
      <c r="M38" s="572">
        <f>+M36/M37*100</f>
        <v>36.682329238783886</v>
      </c>
      <c r="N38" s="572">
        <f>+N36/O37*100</f>
        <v>78.867696669479798</v>
      </c>
      <c r="O38" s="572">
        <f>+O36/O37*100</f>
        <v>21.132303330520198</v>
      </c>
      <c r="P38" s="572"/>
      <c r="Q38" s="572"/>
      <c r="R38" s="512">
        <v>3100000</v>
      </c>
    </row>
    <row r="39" spans="1:18" ht="13.5" thickBot="1" x14ac:dyDescent="0.25">
      <c r="A39" s="573" t="s">
        <v>17</v>
      </c>
      <c r="B39" s="574"/>
      <c r="C39" s="575">
        <f>C37/R37</f>
        <v>0.15407334631741221</v>
      </c>
      <c r="D39" s="575"/>
      <c r="E39" s="575">
        <f>E37/R37</f>
        <v>0.21386241435909173</v>
      </c>
      <c r="F39" s="575"/>
      <c r="G39" s="575">
        <f>G37/R37</f>
        <v>7.6179277939359219E-2</v>
      </c>
      <c r="H39" s="575"/>
      <c r="I39" s="575">
        <f>I37/R37</f>
        <v>0.14419478988210901</v>
      </c>
      <c r="J39" s="575"/>
      <c r="K39" s="575">
        <f>K37/R37</f>
        <v>0.12076177942384408</v>
      </c>
      <c r="L39" s="575"/>
      <c r="M39" s="575">
        <f>M37/R37</f>
        <v>0.16449269380004955</v>
      </c>
      <c r="N39" s="575"/>
      <c r="O39" s="575">
        <f>+O37/R37</f>
        <v>6.2509671126115718E-2</v>
      </c>
      <c r="P39" s="575"/>
      <c r="Q39" s="575"/>
      <c r="R39" s="576">
        <f>R37/R37</f>
        <v>1</v>
      </c>
    </row>
    <row r="40" spans="1:18" ht="13.5" thickBot="1" x14ac:dyDescent="0.25">
      <c r="A40" s="577" t="s">
        <v>18</v>
      </c>
      <c r="B40" s="578"/>
      <c r="C40" s="579">
        <f>C37/25</f>
        <v>39684.800000000003</v>
      </c>
      <c r="D40" s="579"/>
      <c r="E40" s="579">
        <f t="shared" ref="E40:O40" si="2">E37/26</f>
        <v>52966.076923076922</v>
      </c>
      <c r="F40" s="579"/>
      <c r="G40" s="579">
        <f t="shared" si="2"/>
        <v>18866.884615384617</v>
      </c>
      <c r="H40" s="579"/>
      <c r="I40" s="579">
        <f t="shared" si="2"/>
        <v>35711.896153846159</v>
      </c>
      <c r="J40" s="579"/>
      <c r="K40" s="579">
        <f t="shared" si="2"/>
        <v>29908.376923076925</v>
      </c>
      <c r="L40" s="579"/>
      <c r="M40" s="579">
        <f t="shared" si="2"/>
        <v>40738.961538461539</v>
      </c>
      <c r="N40" s="579"/>
      <c r="O40" s="579">
        <f t="shared" si="2"/>
        <v>15481.41153846154</v>
      </c>
      <c r="P40" s="579"/>
      <c r="Q40" s="579"/>
      <c r="R40" s="580">
        <f>R37/25</f>
        <v>257570.83199999999</v>
      </c>
    </row>
    <row r="41" spans="1:18" ht="16.5" thickBot="1" x14ac:dyDescent="0.3">
      <c r="C41" s="581"/>
      <c r="D41" s="632"/>
      <c r="E41" s="581"/>
      <c r="F41" s="582"/>
      <c r="G41" s="581"/>
      <c r="H41" s="632"/>
      <c r="I41" s="581"/>
      <c r="J41" s="582"/>
      <c r="K41" s="581"/>
      <c r="L41" s="632"/>
      <c r="M41" s="581"/>
      <c r="N41" s="583"/>
      <c r="O41" s="581"/>
      <c r="P41" s="632"/>
      <c r="Q41" s="581"/>
      <c r="R41" s="623"/>
    </row>
    <row r="42" spans="1:18" s="513" customFormat="1" ht="13.5" thickBot="1" x14ac:dyDescent="0.25">
      <c r="A42" s="637" t="s">
        <v>121</v>
      </c>
      <c r="B42" s="636"/>
      <c r="C42" s="636">
        <f>471+601</f>
        <v>1072</v>
      </c>
      <c r="D42" s="633"/>
      <c r="E42" s="636">
        <f>616+1006</f>
        <v>1622</v>
      </c>
      <c r="F42" s="617"/>
      <c r="G42" s="636">
        <f>233+388</f>
        <v>621</v>
      </c>
      <c r="H42" s="633"/>
      <c r="I42" s="636">
        <f>468+660</f>
        <v>1128</v>
      </c>
      <c r="J42" s="617"/>
      <c r="K42" s="636">
        <f>330+598</f>
        <v>928</v>
      </c>
      <c r="L42" s="633"/>
      <c r="M42" s="636">
        <f>473+724</f>
        <v>1197</v>
      </c>
      <c r="N42" s="618"/>
      <c r="O42" s="636"/>
      <c r="P42" s="633"/>
      <c r="Q42" s="636"/>
      <c r="R42" s="624">
        <f>SUM(B42:Q42)</f>
        <v>6568</v>
      </c>
    </row>
    <row r="43" spans="1:18" s="616" customFormat="1" ht="13.5" thickBot="1" x14ac:dyDescent="0.25">
      <c r="A43" s="643" t="s">
        <v>120</v>
      </c>
      <c r="B43" s="638"/>
      <c r="C43" s="635">
        <f>+C37/C42</f>
        <v>925.48507462686564</v>
      </c>
      <c r="D43" s="634"/>
      <c r="E43" s="635">
        <f>+E37/E42</f>
        <v>849.02466091245378</v>
      </c>
      <c r="F43" s="76"/>
      <c r="G43" s="635">
        <f>+G37/G42</f>
        <v>789.91787439613529</v>
      </c>
      <c r="H43" s="634"/>
      <c r="I43" s="635">
        <f>+I37/I42</f>
        <v>823.14654255319158</v>
      </c>
      <c r="J43" s="76"/>
      <c r="K43" s="635">
        <f>+K37/K42</f>
        <v>837.95021551724142</v>
      </c>
      <c r="L43" s="634"/>
      <c r="M43" s="635">
        <f>+M37/M42</f>
        <v>884.88972431077696</v>
      </c>
      <c r="N43" s="76"/>
      <c r="O43" s="635"/>
      <c r="P43" s="634"/>
      <c r="Q43" s="635">
        <v>1203</v>
      </c>
      <c r="R43" s="625">
        <f>+R37/R42</f>
        <v>980.40054811205846</v>
      </c>
    </row>
    <row r="44" spans="1:18" s="616" customFormat="1" ht="13.5" thickBot="1" x14ac:dyDescent="0.25">
      <c r="A44" s="644" t="s">
        <v>117</v>
      </c>
      <c r="B44" s="630"/>
      <c r="C44" s="631">
        <v>896</v>
      </c>
      <c r="D44" s="639"/>
      <c r="E44" s="631">
        <v>1425</v>
      </c>
      <c r="F44" s="640"/>
      <c r="G44" s="631">
        <v>530</v>
      </c>
      <c r="H44" s="639"/>
      <c r="I44" s="631">
        <v>936</v>
      </c>
      <c r="J44" s="640"/>
      <c r="K44" s="631">
        <v>766</v>
      </c>
      <c r="L44" s="639"/>
      <c r="M44" s="631">
        <v>1029</v>
      </c>
      <c r="N44" s="641"/>
      <c r="O44" s="631">
        <v>0</v>
      </c>
      <c r="P44" s="639"/>
      <c r="Q44" s="631">
        <v>342</v>
      </c>
      <c r="R44" s="642"/>
    </row>
    <row r="45" spans="1:18" ht="13.5" thickBot="1" x14ac:dyDescent="0.25">
      <c r="A45" s="646" t="s">
        <v>122</v>
      </c>
      <c r="B45" s="647"/>
      <c r="C45" s="648">
        <f>+C42/C44</f>
        <v>1.1964285714285714</v>
      </c>
      <c r="D45" s="648"/>
      <c r="E45" s="648">
        <f>+E42/E44</f>
        <v>1.1382456140350876</v>
      </c>
      <c r="F45" s="648"/>
      <c r="G45" s="648">
        <f>+G42/G44</f>
        <v>1.1716981132075472</v>
      </c>
      <c r="H45" s="648"/>
      <c r="I45" s="648">
        <f>+I42/I44</f>
        <v>1.2051282051282051</v>
      </c>
      <c r="J45" s="648"/>
      <c r="K45" s="648">
        <f>+K42/K44</f>
        <v>1.2114882506527416</v>
      </c>
      <c r="L45" s="648"/>
      <c r="M45" s="648">
        <f>+M42/M44</f>
        <v>1.1632653061224489</v>
      </c>
      <c r="N45" s="648"/>
      <c r="O45" s="648"/>
      <c r="P45" s="648"/>
      <c r="Q45" s="648"/>
      <c r="R45" s="645">
        <f>AVERAGE(C45:M45)</f>
        <v>1.1810423434291004</v>
      </c>
    </row>
    <row r="46" spans="1:18" x14ac:dyDescent="0.2">
      <c r="A46" s="595"/>
      <c r="B46" s="595"/>
      <c r="C46" s="596"/>
      <c r="D46" s="596"/>
      <c r="E46" s="596"/>
      <c r="F46" s="596"/>
      <c r="G46" s="596"/>
      <c r="H46" s="596"/>
      <c r="I46" s="596"/>
      <c r="J46" s="596"/>
      <c r="K46" s="597"/>
      <c r="L46" s="597"/>
      <c r="M46" s="596"/>
      <c r="N46" s="596"/>
      <c r="O46" s="596"/>
      <c r="P46" s="596"/>
      <c r="Q46" s="596"/>
      <c r="R46" s="598"/>
    </row>
    <row r="47" spans="1:18" x14ac:dyDescent="0.2">
      <c r="A47" s="595"/>
      <c r="B47" s="595"/>
      <c r="C47" s="596"/>
      <c r="D47" s="596"/>
      <c r="E47" s="596"/>
      <c r="F47" s="596"/>
      <c r="G47" s="596"/>
      <c r="H47" s="596"/>
      <c r="I47" s="596"/>
      <c r="J47" s="596"/>
      <c r="K47" s="597"/>
      <c r="L47" s="597"/>
      <c r="M47" s="596"/>
      <c r="N47" s="596"/>
      <c r="O47" s="596"/>
      <c r="P47" s="596"/>
      <c r="Q47" s="596"/>
      <c r="R47" s="598"/>
    </row>
    <row r="48" spans="1:18" x14ac:dyDescent="0.2">
      <c r="A48" s="672" t="s">
        <v>21</v>
      </c>
      <c r="B48" s="672"/>
      <c r="C48" s="599" t="s">
        <v>22</v>
      </c>
      <c r="F48" s="673" t="s">
        <v>23</v>
      </c>
      <c r="G48" s="673"/>
      <c r="H48" s="600" t="s">
        <v>22</v>
      </c>
      <c r="K48" s="674" t="s">
        <v>24</v>
      </c>
      <c r="L48" s="674"/>
      <c r="M48" s="601" t="s">
        <v>22</v>
      </c>
    </row>
    <row r="49" spans="1:13" x14ac:dyDescent="0.2">
      <c r="A49" s="599" t="s">
        <v>25</v>
      </c>
      <c r="B49" s="620">
        <f>+C36+E36+I36+O36</f>
        <v>1424656.05</v>
      </c>
      <c r="C49" s="602">
        <f>+(B49/B51)*100</f>
        <v>38.501470435622977</v>
      </c>
      <c r="F49" s="600" t="s">
        <v>26</v>
      </c>
      <c r="G49" s="619">
        <f>+G36+K36+M36</f>
        <v>850735</v>
      </c>
      <c r="H49" s="603">
        <f>+(G49/G51)*100</f>
        <v>36.553494850710877</v>
      </c>
      <c r="K49" s="601" t="s">
        <v>26</v>
      </c>
      <c r="L49" s="621">
        <f>+B49+G49</f>
        <v>2275391.0499999998</v>
      </c>
      <c r="M49" s="604">
        <f>+L49/L51*100</f>
        <v>37.74932461889108</v>
      </c>
    </row>
    <row r="50" spans="1:13" x14ac:dyDescent="0.2">
      <c r="A50" s="599" t="s">
        <v>27</v>
      </c>
      <c r="B50" s="620">
        <f>+B36+D36+H36+N36</f>
        <v>2275607.9500000002</v>
      </c>
      <c r="C50" s="602">
        <f>+(B50/B51)*100</f>
        <v>61.498529564377037</v>
      </c>
      <c r="F50" s="600" t="s">
        <v>28</v>
      </c>
      <c r="G50" s="619">
        <f>+F36+J36+L36</f>
        <v>1476634.8</v>
      </c>
      <c r="H50" s="603">
        <f>+(G50/G51)*100</f>
        <v>63.446505149289138</v>
      </c>
      <c r="K50" s="601" t="s">
        <v>29</v>
      </c>
      <c r="L50" s="621">
        <f>+B50+G50</f>
        <v>3752242.75</v>
      </c>
      <c r="M50" s="604">
        <f>+L50/L51*100</f>
        <v>62.25067538110892</v>
      </c>
    </row>
    <row r="51" spans="1:13" x14ac:dyDescent="0.2">
      <c r="A51" s="605"/>
      <c r="B51" s="620">
        <f>+B49+B50</f>
        <v>3700264</v>
      </c>
      <c r="C51" s="605"/>
      <c r="F51" s="607"/>
      <c r="G51" s="619">
        <f>+G49+G50</f>
        <v>2327369.7999999998</v>
      </c>
      <c r="H51" s="607"/>
      <c r="K51" s="601"/>
      <c r="L51" s="621">
        <f>SUM(L49:L50)</f>
        <v>6027633.7999999998</v>
      </c>
      <c r="M51" s="601"/>
    </row>
  </sheetData>
  <mergeCells count="12">
    <mergeCell ref="N3:O3"/>
    <mergeCell ref="P3:Q3"/>
    <mergeCell ref="A48:B48"/>
    <mergeCell ref="F48:G48"/>
    <mergeCell ref="K48:L48"/>
    <mergeCell ref="C1:M1"/>
    <mergeCell ref="B3:C3"/>
    <mergeCell ref="D3:E3"/>
    <mergeCell ref="F3:G3"/>
    <mergeCell ref="H3:I3"/>
    <mergeCell ref="J3:K3"/>
    <mergeCell ref="L3:M3"/>
  </mergeCells>
  <phoneticPr fontId="55" type="noConversion"/>
  <pageMargins left="0.7" right="0.7" top="0.75" bottom="0.75" header="0.3" footer="0.3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R87"/>
  <sheetViews>
    <sheetView tabSelected="1" zoomScale="70" zoomScaleNormal="70" zoomScaleSheetLayoutView="40" workbookViewId="0">
      <selection activeCell="C6" sqref="C6"/>
    </sheetView>
  </sheetViews>
  <sheetFormatPr baseColWidth="10" defaultRowHeight="15" x14ac:dyDescent="0.3"/>
  <cols>
    <col min="1" max="1" width="2.140625" style="98" customWidth="1"/>
    <col min="2" max="2" width="23.42578125" style="98" customWidth="1"/>
    <col min="3" max="3" width="20" style="98" customWidth="1"/>
    <col min="4" max="4" width="21.28515625" style="98" customWidth="1"/>
    <col min="5" max="5" width="21" style="98" customWidth="1"/>
    <col min="6" max="6" width="21.140625" style="98" customWidth="1"/>
    <col min="7" max="8" width="20.140625" style="98" customWidth="1"/>
    <col min="9" max="9" width="21.140625" style="98" customWidth="1"/>
    <col min="10" max="10" width="21.42578125" style="98" customWidth="1"/>
    <col min="11" max="11" width="9.42578125" style="98" hidden="1" customWidth="1"/>
    <col min="12" max="12" width="23.42578125" style="98" customWidth="1"/>
    <col min="13" max="13" width="23.28515625" style="98" customWidth="1"/>
    <col min="14" max="14" width="24.28515625" style="98" customWidth="1"/>
    <col min="15" max="15" width="20.28515625" style="98" bestFit="1" customWidth="1"/>
    <col min="16" max="16" width="31.5703125" style="98" customWidth="1"/>
    <col min="17" max="17" width="13.42578125" style="98" bestFit="1" customWidth="1"/>
    <col min="18" max="16384" width="11.42578125" style="98"/>
  </cols>
  <sheetData>
    <row r="1" spans="2:17" ht="15.75" thickBot="1" x14ac:dyDescent="0.35"/>
    <row r="2" spans="2:17" s="102" customFormat="1" ht="27" customHeight="1" thickBot="1" x14ac:dyDescent="0.35">
      <c r="B2" s="99"/>
      <c r="C2" s="699" t="s">
        <v>158</v>
      </c>
      <c r="D2" s="700"/>
      <c r="E2" s="700"/>
      <c r="F2" s="700"/>
      <c r="G2" s="700"/>
      <c r="H2" s="700"/>
      <c r="I2" s="700"/>
      <c r="J2" s="700"/>
      <c r="K2" s="700"/>
      <c r="L2" s="100" t="s">
        <v>30</v>
      </c>
      <c r="M2" s="100" t="s">
        <v>31</v>
      </c>
      <c r="N2" s="101" t="s">
        <v>32</v>
      </c>
    </row>
    <row r="3" spans="2:17" s="102" customFormat="1" ht="39.950000000000003" customHeight="1" x14ac:dyDescent="0.3">
      <c r="B3" s="103"/>
      <c r="C3" s="701"/>
      <c r="D3" s="702"/>
      <c r="E3" s="702"/>
      <c r="F3" s="702"/>
      <c r="G3" s="702"/>
      <c r="H3" s="702"/>
      <c r="I3" s="702"/>
      <c r="J3" s="703"/>
      <c r="K3" s="703"/>
      <c r="L3" s="104">
        <v>44348</v>
      </c>
      <c r="M3" s="105">
        <f>+H59</f>
        <v>6439270.7999999998</v>
      </c>
      <c r="N3" s="106">
        <f>+H63</f>
        <v>980.40054811205846</v>
      </c>
      <c r="O3" s="107"/>
      <c r="P3" s="108"/>
      <c r="Q3" s="108"/>
    </row>
    <row r="4" spans="2:17" s="102" customFormat="1" ht="39.950000000000003" customHeight="1" x14ac:dyDescent="0.3">
      <c r="B4" s="103"/>
      <c r="C4" s="701"/>
      <c r="D4" s="702"/>
      <c r="E4" s="702"/>
      <c r="F4" s="702"/>
      <c r="G4" s="702"/>
      <c r="H4" s="702"/>
      <c r="I4" s="702"/>
      <c r="J4" s="702"/>
      <c r="K4" s="702"/>
      <c r="L4" s="109">
        <v>44317</v>
      </c>
      <c r="M4" s="110">
        <f>+G59</f>
        <v>6451832.75</v>
      </c>
      <c r="N4" s="111">
        <f>+G63</f>
        <v>916</v>
      </c>
      <c r="O4" s="98"/>
    </row>
    <row r="5" spans="2:17" s="102" customFormat="1" ht="39.950000000000003" customHeight="1" thickBot="1" x14ac:dyDescent="0.35">
      <c r="B5" s="112"/>
      <c r="C5" s="701"/>
      <c r="D5" s="702"/>
      <c r="E5" s="702"/>
      <c r="F5" s="702"/>
      <c r="G5" s="702"/>
      <c r="H5" s="702"/>
      <c r="I5" s="702"/>
      <c r="J5" s="702"/>
      <c r="K5" s="702"/>
      <c r="L5" s="113">
        <v>44287</v>
      </c>
      <c r="M5" s="114">
        <v>6600354.3000000007</v>
      </c>
      <c r="N5" s="115">
        <f>+F63</f>
        <v>1036.3250588789449</v>
      </c>
      <c r="O5" s="98"/>
    </row>
    <row r="6" spans="2:17" ht="12.75" customHeight="1" x14ac:dyDescent="0.3">
      <c r="B6" s="116"/>
      <c r="C6" s="117"/>
      <c r="D6" s="117"/>
      <c r="E6" s="117"/>
      <c r="F6" s="118"/>
      <c r="G6" s="118"/>
      <c r="H6" s="117"/>
      <c r="I6" s="117"/>
      <c r="J6" s="117"/>
      <c r="K6" s="117"/>
      <c r="L6" s="117"/>
      <c r="M6" s="117"/>
      <c r="N6" s="119"/>
    </row>
    <row r="7" spans="2:17" ht="12.75" customHeight="1" x14ac:dyDescent="0.3">
      <c r="B7" s="116"/>
      <c r="C7" s="117"/>
      <c r="D7" s="117"/>
      <c r="E7" s="117"/>
      <c r="F7" s="118"/>
      <c r="G7" s="118"/>
      <c r="H7" s="117"/>
      <c r="I7" s="117"/>
      <c r="J7" s="117"/>
      <c r="K7" s="117"/>
      <c r="L7" s="117"/>
      <c r="M7" s="117"/>
      <c r="N7" s="119"/>
    </row>
    <row r="8" spans="2:17" x14ac:dyDescent="0.3">
      <c r="B8" s="704"/>
      <c r="C8" s="679"/>
      <c r="D8" s="679"/>
      <c r="E8" s="679"/>
      <c r="F8" s="679"/>
      <c r="G8" s="679"/>
      <c r="H8" s="679"/>
      <c r="I8" s="705"/>
      <c r="J8" s="117"/>
      <c r="K8" s="690" t="s">
        <v>33</v>
      </c>
      <c r="L8" s="691"/>
      <c r="M8" s="691"/>
      <c r="N8" s="692"/>
    </row>
    <row r="9" spans="2:17" ht="12.75" customHeight="1" x14ac:dyDescent="0.3">
      <c r="B9" s="116"/>
      <c r="C9" s="117"/>
      <c r="D9" s="117"/>
      <c r="E9" s="117"/>
      <c r="F9" s="117"/>
      <c r="G9" s="117"/>
      <c r="H9" s="117"/>
      <c r="I9" s="117"/>
      <c r="J9" s="117"/>
      <c r="K9" s="693" t="s">
        <v>101</v>
      </c>
      <c r="L9" s="694"/>
      <c r="M9" s="694"/>
      <c r="N9" s="695"/>
    </row>
    <row r="10" spans="2:17" ht="12.75" customHeight="1" x14ac:dyDescent="0.3">
      <c r="B10" s="116"/>
      <c r="C10" s="117"/>
      <c r="D10" s="117"/>
      <c r="E10" s="117"/>
      <c r="F10" s="117"/>
      <c r="G10" s="117"/>
      <c r="H10" s="117"/>
      <c r="I10" s="117"/>
      <c r="J10" s="117"/>
      <c r="K10" s="696"/>
      <c r="L10" s="697"/>
      <c r="M10" s="697"/>
      <c r="N10" s="698"/>
    </row>
    <row r="11" spans="2:17" x14ac:dyDescent="0.3"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9"/>
    </row>
    <row r="12" spans="2:17" x14ac:dyDescent="0.3">
      <c r="B12" s="116"/>
      <c r="C12" s="117"/>
      <c r="D12" s="117"/>
      <c r="E12" s="117"/>
      <c r="F12" s="117"/>
      <c r="G12" s="117"/>
      <c r="H12" s="117"/>
      <c r="I12" s="117"/>
      <c r="J12" s="117"/>
      <c r="K12" s="690" t="s">
        <v>34</v>
      </c>
      <c r="L12" s="691"/>
      <c r="M12" s="691"/>
      <c r="N12" s="692"/>
    </row>
    <row r="13" spans="2:17" ht="18" customHeight="1" x14ac:dyDescent="0.3">
      <c r="B13" s="116"/>
      <c r="C13" s="117"/>
      <c r="D13" s="117"/>
      <c r="E13" s="117"/>
      <c r="F13" s="117"/>
      <c r="G13" s="117"/>
      <c r="H13" s="117"/>
      <c r="I13" s="117"/>
      <c r="J13" s="117"/>
      <c r="K13" s="693" t="s">
        <v>101</v>
      </c>
      <c r="L13" s="694"/>
      <c r="M13" s="694"/>
      <c r="N13" s="695"/>
    </row>
    <row r="14" spans="2:17" ht="15" customHeight="1" x14ac:dyDescent="0.3">
      <c r="B14" s="116"/>
      <c r="C14" s="117"/>
      <c r="D14" s="117"/>
      <c r="E14" s="117"/>
      <c r="F14" s="117"/>
      <c r="G14" s="117"/>
      <c r="H14" s="117"/>
      <c r="I14" s="117"/>
      <c r="J14" s="117"/>
      <c r="K14" s="696"/>
      <c r="L14" s="697"/>
      <c r="M14" s="697"/>
      <c r="N14" s="698"/>
    </row>
    <row r="15" spans="2:17" ht="18" customHeight="1" x14ac:dyDescent="0.3">
      <c r="B15" s="116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9"/>
    </row>
    <row r="16" spans="2:17" ht="14.25" customHeight="1" thickBot="1" x14ac:dyDescent="0.35">
      <c r="B16" s="116"/>
      <c r="C16" s="117"/>
      <c r="D16" s="117"/>
      <c r="E16" s="117"/>
      <c r="F16" s="117"/>
      <c r="G16" s="117"/>
      <c r="H16" s="117"/>
      <c r="I16" s="117"/>
      <c r="J16" s="117"/>
      <c r="K16" s="678"/>
      <c r="L16" s="679"/>
      <c r="M16" s="679"/>
      <c r="N16" s="680"/>
    </row>
    <row r="17" spans="2:14" ht="15" customHeight="1" x14ac:dyDescent="0.3">
      <c r="B17" s="116"/>
      <c r="C17" s="117"/>
      <c r="D17" s="117"/>
      <c r="E17" s="117"/>
      <c r="F17" s="117"/>
      <c r="G17" s="117"/>
      <c r="H17" s="117"/>
      <c r="I17" s="117"/>
      <c r="J17" s="117"/>
      <c r="K17" s="681" t="s">
        <v>35</v>
      </c>
      <c r="L17" s="682"/>
      <c r="M17" s="682"/>
      <c r="N17" s="683"/>
    </row>
    <row r="18" spans="2:14" x14ac:dyDescent="0.3">
      <c r="B18" s="116"/>
      <c r="C18" s="117"/>
      <c r="D18" s="117"/>
      <c r="E18" s="117"/>
      <c r="F18" s="117"/>
      <c r="G18" s="117"/>
      <c r="H18" s="117"/>
      <c r="I18" s="117"/>
      <c r="J18" s="117"/>
      <c r="K18" s="684"/>
      <c r="L18" s="685"/>
      <c r="M18" s="685"/>
      <c r="N18" s="686"/>
    </row>
    <row r="19" spans="2:14" x14ac:dyDescent="0.3">
      <c r="B19" s="116"/>
      <c r="C19" s="117"/>
      <c r="D19" s="117"/>
      <c r="E19" s="117"/>
      <c r="F19" s="117"/>
      <c r="G19" s="117"/>
      <c r="H19" s="117"/>
      <c r="I19" s="117"/>
      <c r="J19" s="117"/>
      <c r="K19" s="684"/>
      <c r="L19" s="685"/>
      <c r="M19" s="685"/>
      <c r="N19" s="686"/>
    </row>
    <row r="20" spans="2:14" x14ac:dyDescent="0.3">
      <c r="B20" s="116"/>
      <c r="C20" s="117"/>
      <c r="D20" s="117"/>
      <c r="E20" s="117"/>
      <c r="F20" s="117"/>
      <c r="G20" s="117"/>
      <c r="H20" s="117"/>
      <c r="I20" s="117"/>
      <c r="J20" s="117"/>
      <c r="K20" s="684"/>
      <c r="L20" s="685"/>
      <c r="M20" s="685"/>
      <c r="N20" s="686"/>
    </row>
    <row r="21" spans="2:14" x14ac:dyDescent="0.3">
      <c r="B21" s="116"/>
      <c r="C21" s="117"/>
      <c r="D21" s="117"/>
      <c r="E21" s="117"/>
      <c r="F21" s="117"/>
      <c r="G21" s="117"/>
      <c r="H21" s="117"/>
      <c r="I21" s="117"/>
      <c r="J21" s="117"/>
      <c r="K21" s="684"/>
      <c r="L21" s="685"/>
      <c r="M21" s="685"/>
      <c r="N21" s="686"/>
    </row>
    <row r="22" spans="2:14" x14ac:dyDescent="0.3">
      <c r="B22" s="116"/>
      <c r="C22" s="117"/>
      <c r="D22" s="117"/>
      <c r="E22" s="117"/>
      <c r="F22" s="117"/>
      <c r="G22" s="117"/>
      <c r="H22" s="117"/>
      <c r="I22" s="117"/>
      <c r="J22" s="117"/>
      <c r="K22" s="684"/>
      <c r="L22" s="685"/>
      <c r="M22" s="685"/>
      <c r="N22" s="686"/>
    </row>
    <row r="23" spans="2:14" x14ac:dyDescent="0.3">
      <c r="B23" s="116"/>
      <c r="C23" s="117"/>
      <c r="D23" s="117"/>
      <c r="E23" s="117"/>
      <c r="F23" s="117"/>
      <c r="G23" s="117"/>
      <c r="H23" s="117"/>
      <c r="I23" s="117"/>
      <c r="J23" s="117"/>
      <c r="K23" s="684"/>
      <c r="L23" s="685"/>
      <c r="M23" s="685"/>
      <c r="N23" s="686"/>
    </row>
    <row r="24" spans="2:14" x14ac:dyDescent="0.3">
      <c r="B24" s="116"/>
      <c r="C24" s="117"/>
      <c r="D24" s="117"/>
      <c r="E24" s="117"/>
      <c r="F24" s="117"/>
      <c r="G24" s="117"/>
      <c r="H24" s="117"/>
      <c r="I24" s="117"/>
      <c r="J24" s="117"/>
      <c r="K24" s="684"/>
      <c r="L24" s="685"/>
      <c r="M24" s="685"/>
      <c r="N24" s="686"/>
    </row>
    <row r="25" spans="2:14" x14ac:dyDescent="0.3">
      <c r="B25" s="116"/>
      <c r="C25" s="117"/>
      <c r="D25" s="117"/>
      <c r="E25" s="117"/>
      <c r="F25" s="117"/>
      <c r="G25" s="117"/>
      <c r="H25" s="117"/>
      <c r="I25" s="117"/>
      <c r="J25" s="117"/>
      <c r="K25" s="684"/>
      <c r="L25" s="685"/>
      <c r="M25" s="685"/>
      <c r="N25" s="686"/>
    </row>
    <row r="26" spans="2:14" x14ac:dyDescent="0.3">
      <c r="B26" s="116"/>
      <c r="C26" s="117"/>
      <c r="D26" s="117"/>
      <c r="E26" s="117"/>
      <c r="F26" s="117"/>
      <c r="G26" s="117"/>
      <c r="H26" s="117"/>
      <c r="I26" s="117"/>
      <c r="J26" s="117"/>
      <c r="K26" s="684"/>
      <c r="L26" s="685"/>
      <c r="M26" s="685"/>
      <c r="N26" s="686"/>
    </row>
    <row r="27" spans="2:14" x14ac:dyDescent="0.3">
      <c r="B27" s="116"/>
      <c r="C27" s="117"/>
      <c r="D27" s="117"/>
      <c r="E27" s="117"/>
      <c r="F27" s="117"/>
      <c r="G27" s="117"/>
      <c r="H27" s="117"/>
      <c r="I27" s="117"/>
      <c r="J27" s="117"/>
      <c r="K27" s="684"/>
      <c r="L27" s="685"/>
      <c r="M27" s="685"/>
      <c r="N27" s="686"/>
    </row>
    <row r="28" spans="2:14" x14ac:dyDescent="0.3">
      <c r="B28" s="116"/>
      <c r="C28" s="117"/>
      <c r="D28" s="117"/>
      <c r="E28" s="117"/>
      <c r="F28" s="117"/>
      <c r="G28" s="117"/>
      <c r="H28" s="117"/>
      <c r="I28" s="117"/>
      <c r="J28" s="117"/>
      <c r="K28" s="684"/>
      <c r="L28" s="685"/>
      <c r="M28" s="685"/>
      <c r="N28" s="686"/>
    </row>
    <row r="29" spans="2:14" x14ac:dyDescent="0.3">
      <c r="B29" s="116"/>
      <c r="C29" s="117"/>
      <c r="D29" s="117"/>
      <c r="E29" s="117"/>
      <c r="F29" s="117"/>
      <c r="G29" s="117"/>
      <c r="H29" s="117"/>
      <c r="I29" s="117"/>
      <c r="J29" s="117"/>
      <c r="K29" s="684"/>
      <c r="L29" s="685"/>
      <c r="M29" s="685"/>
      <c r="N29" s="686"/>
    </row>
    <row r="30" spans="2:14" x14ac:dyDescent="0.3">
      <c r="B30" s="116"/>
      <c r="C30" s="117"/>
      <c r="D30" s="117"/>
      <c r="E30" s="117"/>
      <c r="F30" s="117"/>
      <c r="G30" s="117"/>
      <c r="H30" s="117"/>
      <c r="I30" s="117"/>
      <c r="J30" s="117"/>
      <c r="K30" s="684"/>
      <c r="L30" s="685"/>
      <c r="M30" s="685"/>
      <c r="N30" s="686"/>
    </row>
    <row r="31" spans="2:14" x14ac:dyDescent="0.3">
      <c r="B31" s="116"/>
      <c r="C31" s="117"/>
      <c r="D31" s="117"/>
      <c r="E31" s="117"/>
      <c r="F31" s="117"/>
      <c r="G31" s="117"/>
      <c r="H31" s="117"/>
      <c r="I31" s="117"/>
      <c r="J31" s="117"/>
      <c r="K31" s="684"/>
      <c r="L31" s="685"/>
      <c r="M31" s="685"/>
      <c r="N31" s="686"/>
    </row>
    <row r="32" spans="2:14" ht="15.75" thickBot="1" x14ac:dyDescent="0.35">
      <c r="B32" s="116"/>
      <c r="C32" s="117"/>
      <c r="D32" s="117"/>
      <c r="E32" s="117"/>
      <c r="F32" s="117"/>
      <c r="G32" s="117"/>
      <c r="H32" s="117"/>
      <c r="I32" s="117"/>
      <c r="J32" s="117"/>
      <c r="K32" s="687"/>
      <c r="L32" s="688"/>
      <c r="M32" s="688"/>
      <c r="N32" s="689"/>
    </row>
    <row r="33" spans="2:14" x14ac:dyDescent="0.3">
      <c r="B33" s="116"/>
      <c r="C33" s="117"/>
      <c r="D33" s="117"/>
      <c r="E33" s="117"/>
      <c r="F33" s="117"/>
      <c r="G33" s="117"/>
      <c r="H33" s="117"/>
      <c r="I33" s="117"/>
      <c r="J33" s="117"/>
      <c r="K33" s="120"/>
      <c r="L33" s="120"/>
      <c r="M33" s="120"/>
      <c r="N33" s="121"/>
    </row>
    <row r="34" spans="2:14" x14ac:dyDescent="0.3">
      <c r="B34" s="116"/>
      <c r="C34" s="117"/>
      <c r="D34" s="117"/>
      <c r="E34" s="117"/>
      <c r="F34" s="117"/>
      <c r="G34" s="117"/>
      <c r="H34" s="117"/>
      <c r="I34" s="117"/>
      <c r="J34" s="117"/>
      <c r="K34" s="690"/>
      <c r="L34" s="691"/>
      <c r="M34" s="691"/>
      <c r="N34" s="692"/>
    </row>
    <row r="35" spans="2:14" ht="15" customHeight="1" x14ac:dyDescent="0.3">
      <c r="B35" s="116"/>
      <c r="C35" s="117"/>
      <c r="D35" s="117"/>
      <c r="E35" s="117"/>
      <c r="F35" s="117"/>
      <c r="G35" s="117"/>
      <c r="H35" s="117"/>
      <c r="I35" s="117"/>
      <c r="J35" s="117"/>
      <c r="K35" s="122" t="s">
        <v>36</v>
      </c>
      <c r="L35" s="123"/>
      <c r="M35" s="123"/>
      <c r="N35" s="124"/>
    </row>
    <row r="36" spans="2:14" x14ac:dyDescent="0.3">
      <c r="B36" s="116"/>
      <c r="C36" s="117"/>
      <c r="D36" s="117"/>
      <c r="E36" s="117"/>
      <c r="F36" s="117"/>
      <c r="G36" s="117"/>
      <c r="H36" s="117"/>
      <c r="I36" s="117"/>
      <c r="J36" s="117"/>
      <c r="K36" s="125"/>
      <c r="L36" s="126"/>
      <c r="M36" s="126"/>
      <c r="N36" s="127"/>
    </row>
    <row r="37" spans="2:14" x14ac:dyDescent="0.3">
      <c r="B37" s="116"/>
      <c r="C37" s="117"/>
      <c r="D37" s="117"/>
      <c r="E37" s="117"/>
      <c r="F37" s="117"/>
      <c r="G37" s="117"/>
      <c r="H37" s="117"/>
      <c r="I37" s="117"/>
      <c r="J37" s="117"/>
      <c r="K37" s="125"/>
      <c r="L37" s="126"/>
      <c r="M37" s="126"/>
      <c r="N37" s="127"/>
    </row>
    <row r="38" spans="2:14" x14ac:dyDescent="0.3">
      <c r="B38" s="116"/>
      <c r="C38" s="117"/>
      <c r="D38" s="117"/>
      <c r="E38" s="117"/>
      <c r="F38" s="117"/>
      <c r="G38" s="117"/>
      <c r="H38" s="117"/>
      <c r="I38" s="117"/>
      <c r="J38" s="117"/>
      <c r="K38" s="125"/>
      <c r="L38" s="126"/>
      <c r="M38" s="126"/>
      <c r="N38" s="127"/>
    </row>
    <row r="39" spans="2:14" x14ac:dyDescent="0.3">
      <c r="B39" s="116"/>
      <c r="C39" s="117"/>
      <c r="D39" s="117"/>
      <c r="E39" s="117"/>
      <c r="F39" s="117"/>
      <c r="G39" s="117"/>
      <c r="H39" s="117"/>
      <c r="I39" s="117"/>
      <c r="J39" s="117"/>
      <c r="K39" s="125"/>
      <c r="L39" s="126"/>
      <c r="M39" s="126"/>
      <c r="N39" s="127"/>
    </row>
    <row r="40" spans="2:14" x14ac:dyDescent="0.3">
      <c r="B40" s="116"/>
      <c r="C40" s="117"/>
      <c r="D40" s="117"/>
      <c r="E40" s="117"/>
      <c r="F40" s="117"/>
      <c r="G40" s="117"/>
      <c r="H40" s="117"/>
      <c r="I40" s="117"/>
      <c r="J40" s="117"/>
      <c r="K40" s="125"/>
      <c r="L40" s="126"/>
      <c r="M40" s="126"/>
      <c r="N40" s="127"/>
    </row>
    <row r="41" spans="2:14" x14ac:dyDescent="0.3">
      <c r="B41" s="116"/>
      <c r="C41" s="117"/>
      <c r="D41" s="117"/>
      <c r="E41" s="117"/>
      <c r="F41" s="117"/>
      <c r="G41" s="117"/>
      <c r="H41" s="117"/>
      <c r="I41" s="117"/>
      <c r="J41" s="117"/>
      <c r="K41" s="125"/>
      <c r="L41" s="126"/>
      <c r="M41" s="126"/>
      <c r="N41" s="127"/>
    </row>
    <row r="42" spans="2:14" ht="15.75" thickBot="1" x14ac:dyDescent="0.35">
      <c r="B42" s="116"/>
      <c r="C42" s="117"/>
      <c r="D42" s="117"/>
      <c r="E42" s="117"/>
      <c r="F42" s="117"/>
      <c r="G42" s="117"/>
      <c r="H42" s="117"/>
      <c r="I42" s="117"/>
      <c r="J42" s="117"/>
      <c r="K42" s="125"/>
      <c r="L42" s="126"/>
      <c r="M42" s="126"/>
      <c r="N42" s="127"/>
    </row>
    <row r="43" spans="2:14" ht="15.75" thickBot="1" x14ac:dyDescent="0.35">
      <c r="B43" s="128">
        <v>16200</v>
      </c>
      <c r="C43" s="129"/>
      <c r="D43" s="129"/>
      <c r="E43" s="129"/>
      <c r="F43" s="130"/>
      <c r="G43" s="129"/>
      <c r="H43" s="117"/>
      <c r="I43" s="117"/>
      <c r="J43" s="117"/>
      <c r="K43" s="125"/>
      <c r="L43" s="126"/>
      <c r="M43" s="126"/>
      <c r="N43" s="127"/>
    </row>
    <row r="44" spans="2:14" ht="15.75" thickBot="1" x14ac:dyDescent="0.35">
      <c r="B44" s="128">
        <v>17800</v>
      </c>
      <c r="C44" s="129"/>
      <c r="D44" s="129"/>
      <c r="E44" s="129"/>
      <c r="F44" s="130"/>
      <c r="G44" s="129"/>
      <c r="H44" s="117"/>
      <c r="I44" s="117" t="s">
        <v>37</v>
      </c>
      <c r="J44" s="117"/>
      <c r="K44" s="125"/>
      <c r="L44" s="126"/>
      <c r="M44" s="126"/>
      <c r="N44" s="127"/>
    </row>
    <row r="45" spans="2:14" ht="15.75" thickBot="1" x14ac:dyDescent="0.35">
      <c r="B45" s="128">
        <v>18200</v>
      </c>
      <c r="C45" s="129"/>
      <c r="D45" s="129"/>
      <c r="E45" s="129"/>
      <c r="F45" s="130"/>
      <c r="G45" s="129"/>
      <c r="H45" s="117"/>
      <c r="I45" s="117"/>
      <c r="J45" s="117"/>
      <c r="K45" s="125"/>
      <c r="L45" s="126"/>
      <c r="M45" s="126"/>
      <c r="N45" s="127"/>
    </row>
    <row r="46" spans="2:14" ht="15.75" thickBot="1" x14ac:dyDescent="0.35">
      <c r="B46" s="128">
        <v>28200</v>
      </c>
      <c r="C46" s="129"/>
      <c r="D46" s="129"/>
      <c r="E46" s="129"/>
      <c r="F46" s="130"/>
      <c r="G46" s="129"/>
      <c r="H46" s="117"/>
      <c r="I46" s="117"/>
      <c r="J46" s="117"/>
      <c r="K46" s="125"/>
      <c r="L46" s="126"/>
      <c r="M46" s="126"/>
      <c r="N46" s="127"/>
    </row>
    <row r="47" spans="2:14" ht="15.75" thickBot="1" x14ac:dyDescent="0.35">
      <c r="B47" s="128">
        <v>31600</v>
      </c>
      <c r="C47" s="129"/>
      <c r="D47" s="129"/>
      <c r="E47" s="129"/>
      <c r="F47" s="130"/>
      <c r="G47" s="129"/>
      <c r="H47" s="117"/>
      <c r="I47" s="117"/>
      <c r="J47" s="117"/>
      <c r="K47" s="125"/>
      <c r="L47" s="126"/>
      <c r="M47" s="126"/>
      <c r="N47" s="127"/>
    </row>
    <row r="48" spans="2:14" ht="15.75" thickBot="1" x14ac:dyDescent="0.35">
      <c r="B48" s="131">
        <v>34000</v>
      </c>
      <c r="C48" s="132"/>
      <c r="D48" s="132"/>
      <c r="E48" s="132"/>
      <c r="F48" s="133"/>
      <c r="G48" s="132"/>
      <c r="H48" s="117"/>
      <c r="I48" s="117"/>
      <c r="J48" s="117"/>
      <c r="K48" s="125"/>
      <c r="L48" s="126"/>
      <c r="M48" s="126"/>
      <c r="N48" s="127"/>
    </row>
    <row r="49" spans="2:17" x14ac:dyDescent="0.3">
      <c r="B49" s="116"/>
      <c r="C49" s="117"/>
      <c r="D49" s="117"/>
      <c r="E49" s="117"/>
      <c r="F49" s="117"/>
      <c r="G49" s="117"/>
      <c r="H49" s="117"/>
      <c r="I49" s="117"/>
      <c r="J49" s="117"/>
      <c r="K49" s="134"/>
      <c r="L49" s="135"/>
      <c r="M49" s="135"/>
      <c r="N49" s="136"/>
    </row>
    <row r="50" spans="2:17" x14ac:dyDescent="0.3">
      <c r="B50" s="116"/>
      <c r="C50" s="117"/>
      <c r="D50" s="117"/>
      <c r="E50" s="117"/>
      <c r="F50" s="117"/>
      <c r="G50" s="117"/>
      <c r="H50" s="117"/>
      <c r="I50" s="117"/>
      <c r="J50" s="117"/>
      <c r="K50" s="137"/>
      <c r="L50" s="137"/>
      <c r="M50" s="137"/>
      <c r="N50" s="119"/>
    </row>
    <row r="51" spans="2:17" ht="15.75" thickBot="1" x14ac:dyDescent="0.35">
      <c r="B51" s="138" t="s">
        <v>38</v>
      </c>
      <c r="C51" s="117"/>
      <c r="D51" s="117"/>
      <c r="E51" s="117"/>
      <c r="F51" s="117"/>
      <c r="G51" s="117"/>
      <c r="H51" s="117"/>
      <c r="I51" s="139"/>
      <c r="J51" s="140"/>
      <c r="K51" s="141"/>
      <c r="L51" s="117"/>
      <c r="M51" s="117"/>
      <c r="N51" s="119"/>
    </row>
    <row r="52" spans="2:17" ht="19.5" thickBot="1" x14ac:dyDescent="0.45">
      <c r="B52" s="142" t="s">
        <v>39</v>
      </c>
      <c r="C52" s="143" t="s">
        <v>40</v>
      </c>
      <c r="D52" s="143" t="s">
        <v>41</v>
      </c>
      <c r="E52" s="143" t="s">
        <v>42</v>
      </c>
      <c r="F52" s="143" t="s">
        <v>43</v>
      </c>
      <c r="G52" s="143" t="s">
        <v>44</v>
      </c>
      <c r="H52" s="143" t="s">
        <v>45</v>
      </c>
      <c r="I52" s="143" t="s">
        <v>46</v>
      </c>
      <c r="J52" s="143" t="s">
        <v>47</v>
      </c>
      <c r="K52" s="143" t="s">
        <v>48</v>
      </c>
      <c r="L52" s="143" t="s">
        <v>49</v>
      </c>
      <c r="M52" s="143" t="s">
        <v>50</v>
      </c>
      <c r="N52" s="144" t="s">
        <v>51</v>
      </c>
      <c r="O52" s="144" t="s">
        <v>52</v>
      </c>
      <c r="P52" s="145" t="s">
        <v>53</v>
      </c>
    </row>
    <row r="53" spans="2:17" ht="18.75" x14ac:dyDescent="0.3">
      <c r="B53" s="146" t="s">
        <v>127</v>
      </c>
      <c r="C53" s="147">
        <f>+'[1]ENERO 12'!H30</f>
        <v>422498.89</v>
      </c>
      <c r="D53" s="147">
        <f>+'[1]FEBRERO 13'!H34</f>
        <v>706295.9</v>
      </c>
      <c r="E53" s="147">
        <f>+'[1]MARZO 13'!H29</f>
        <v>1284890.8</v>
      </c>
      <c r="F53" s="147">
        <f>+'[1]ABRIL 13'!H30</f>
        <v>1289737.5</v>
      </c>
      <c r="G53" s="147">
        <f>+'[1]MAYO 13'!H28</f>
        <v>1579710.37</v>
      </c>
      <c r="H53" s="147">
        <f>+'[1]JUNIO 13'!H28</f>
        <v>1567274.9500000002</v>
      </c>
      <c r="I53" s="147">
        <f>+'[1]JULIO 13'!H30</f>
        <v>1536873.31</v>
      </c>
      <c r="J53" s="147">
        <f>+'[1]AGOSTO 13'!H33</f>
        <v>1259712.54</v>
      </c>
      <c r="K53" s="147">
        <f>+'[1]SEPTIEMBRE 13'!H34</f>
        <v>1313318.2000000002</v>
      </c>
      <c r="L53" s="148">
        <f>+'[1]SEPTIEMBRE 13'!H34</f>
        <v>1313318.2000000002</v>
      </c>
      <c r="M53" s="148">
        <f>+'[1]OCTUBRE 13'!H35</f>
        <v>1519295.26</v>
      </c>
      <c r="N53" s="149">
        <f>+'[1]NOVIEMBRE 13'!H33</f>
        <v>1387633.47</v>
      </c>
      <c r="O53" s="149">
        <f>+'[1]DICIEMBRE 13'!H34</f>
        <v>2067237.56</v>
      </c>
      <c r="P53" s="676">
        <f>+O54</f>
        <v>17247796.949999999</v>
      </c>
    </row>
    <row r="54" spans="2:17" ht="19.5" thickBot="1" x14ac:dyDescent="0.35">
      <c r="B54" s="150" t="s">
        <v>135</v>
      </c>
      <c r="C54" s="151">
        <f>+C53</f>
        <v>422498.89</v>
      </c>
      <c r="D54" s="151">
        <f t="shared" ref="D54:O54" si="0">+C54+D53</f>
        <v>1128794.79</v>
      </c>
      <c r="E54" s="151">
        <f t="shared" si="0"/>
        <v>2413685.59</v>
      </c>
      <c r="F54" s="151">
        <f t="shared" si="0"/>
        <v>3703423.09</v>
      </c>
      <c r="G54" s="151">
        <f t="shared" si="0"/>
        <v>5283133.46</v>
      </c>
      <c r="H54" s="151">
        <f t="shared" si="0"/>
        <v>6850408.4100000001</v>
      </c>
      <c r="I54" s="151">
        <f t="shared" si="0"/>
        <v>8387281.7200000007</v>
      </c>
      <c r="J54" s="151">
        <f t="shared" si="0"/>
        <v>9646994.2600000016</v>
      </c>
      <c r="K54" s="151">
        <f t="shared" si="0"/>
        <v>10960312.460000001</v>
      </c>
      <c r="L54" s="151">
        <f t="shared" si="0"/>
        <v>12273630.66</v>
      </c>
      <c r="M54" s="151">
        <f t="shared" si="0"/>
        <v>13792925.92</v>
      </c>
      <c r="N54" s="152">
        <f t="shared" si="0"/>
        <v>15180559.390000001</v>
      </c>
      <c r="O54" s="153">
        <f t="shared" si="0"/>
        <v>17247796.949999999</v>
      </c>
      <c r="P54" s="677"/>
    </row>
    <row r="55" spans="2:17" ht="18.75" x14ac:dyDescent="0.3">
      <c r="B55" s="146" t="s">
        <v>126</v>
      </c>
      <c r="C55" s="147">
        <f>+'[1]ENERO 14'!H33</f>
        <v>682688.24</v>
      </c>
      <c r="D55" s="147">
        <f>+'[1]FEBRERO 14'!H33</f>
        <v>1163234.95</v>
      </c>
      <c r="E55" s="147">
        <f>+'[1]marzo 14'!H33</f>
        <v>1555968.9000000001</v>
      </c>
      <c r="F55" s="147">
        <f>+'[1]ABRIL 14'!H36</f>
        <v>1848510.1500000001</v>
      </c>
      <c r="G55" s="147">
        <f>+'[1]mayo 14'!I33</f>
        <v>1995190.4699999997</v>
      </c>
      <c r="H55" s="147">
        <f>+'[1]junio 14'!H33</f>
        <v>1733351.6800000002</v>
      </c>
      <c r="I55" s="147">
        <f>+'[1]julio 14'!H33</f>
        <v>1809851.1400000001</v>
      </c>
      <c r="J55" s="147">
        <f>+'[1]agosto 14'!H33</f>
        <v>2005525.76</v>
      </c>
      <c r="K55" s="147">
        <f>+'[1]septiembre 14'!H33</f>
        <v>1949844.79</v>
      </c>
      <c r="L55" s="148">
        <f>+'[1]septiembre 14'!H33</f>
        <v>1949844.79</v>
      </c>
      <c r="M55" s="148">
        <f>+'[1]Octubre 14'!H33</f>
        <v>2355817.73</v>
      </c>
      <c r="N55" s="149">
        <f>+'[1]Noviembre 14'!H33</f>
        <v>2040795.4000000001</v>
      </c>
      <c r="O55" s="149">
        <f>+'[1]Diciembre 14'!H33</f>
        <v>3304697.68</v>
      </c>
      <c r="P55" s="676">
        <f>+O56</f>
        <v>24395321.68</v>
      </c>
    </row>
    <row r="56" spans="2:17" ht="19.5" thickBot="1" x14ac:dyDescent="0.35">
      <c r="B56" s="150" t="s">
        <v>134</v>
      </c>
      <c r="C56" s="151">
        <f>+C55</f>
        <v>682688.24</v>
      </c>
      <c r="D56" s="151">
        <f t="shared" ref="D56:O56" si="1">+C56+D55</f>
        <v>1845923.19</v>
      </c>
      <c r="E56" s="151">
        <f t="shared" si="1"/>
        <v>3401892.09</v>
      </c>
      <c r="F56" s="151">
        <f t="shared" si="1"/>
        <v>5250402.24</v>
      </c>
      <c r="G56" s="151">
        <f t="shared" si="1"/>
        <v>7245592.71</v>
      </c>
      <c r="H56" s="151">
        <f t="shared" si="1"/>
        <v>8978944.3900000006</v>
      </c>
      <c r="I56" s="151">
        <f t="shared" si="1"/>
        <v>10788795.530000001</v>
      </c>
      <c r="J56" s="151">
        <f t="shared" si="1"/>
        <v>12794321.290000001</v>
      </c>
      <c r="K56" s="151">
        <f t="shared" si="1"/>
        <v>14744166.080000002</v>
      </c>
      <c r="L56" s="151">
        <f t="shared" si="1"/>
        <v>16694010.870000001</v>
      </c>
      <c r="M56" s="151">
        <f t="shared" si="1"/>
        <v>19049828.600000001</v>
      </c>
      <c r="N56" s="152">
        <f t="shared" si="1"/>
        <v>21090624</v>
      </c>
      <c r="O56" s="153">
        <f t="shared" si="1"/>
        <v>24395321.68</v>
      </c>
      <c r="P56" s="677"/>
      <c r="Q56" s="154"/>
    </row>
    <row r="57" spans="2:17" ht="18.75" x14ac:dyDescent="0.3">
      <c r="B57" s="146" t="s">
        <v>125</v>
      </c>
      <c r="C57" s="147">
        <f>+'[1]Enero 15'!H33</f>
        <v>1164885.0999999999</v>
      </c>
      <c r="D57" s="147">
        <f>+'[1]Febrero 15'!H33</f>
        <v>1388270.6</v>
      </c>
      <c r="E57" s="147">
        <f>+'[1]Marzo 15'!H33</f>
        <v>1905877.45</v>
      </c>
      <c r="F57" s="147">
        <f>+'[1]Abril 15'!I33</f>
        <v>2847958.28</v>
      </c>
      <c r="G57" s="147">
        <f>+'[1]Mayo 15'!J33</f>
        <v>3409426.21</v>
      </c>
      <c r="H57" s="147">
        <f>+'[1]Junio 15'!I33</f>
        <v>3336641.9</v>
      </c>
      <c r="I57" s="147">
        <f>+'[1]Julio 15'!H34</f>
        <v>3887181.35</v>
      </c>
      <c r="J57" s="147">
        <f>+'[1]Agosto 15'!H34</f>
        <v>2923073.96</v>
      </c>
      <c r="K57" s="147"/>
      <c r="L57" s="148">
        <f>+'[1]Setiembre 15'!I33</f>
        <v>3449788.52</v>
      </c>
      <c r="M57" s="155">
        <f>+'[2]Oct 15'!$P$37</f>
        <v>4951300.63</v>
      </c>
      <c r="N57" s="156">
        <f>+'[1]Noviembre 15'!P35</f>
        <v>3980401.35</v>
      </c>
      <c r="O57" s="149">
        <f>+'[1]Diciembre 15'!P37</f>
        <v>6043890.3599999994</v>
      </c>
      <c r="P57" s="676">
        <f>+O58</f>
        <v>39288695.710000001</v>
      </c>
    </row>
    <row r="58" spans="2:17" ht="19.5" thickBot="1" x14ac:dyDescent="0.35">
      <c r="B58" s="157" t="s">
        <v>133</v>
      </c>
      <c r="C58" s="158">
        <f>+C57</f>
        <v>1164885.0999999999</v>
      </c>
      <c r="D58" s="158">
        <f>+C58+D57</f>
        <v>2553155.7000000002</v>
      </c>
      <c r="E58" s="158">
        <f t="shared" ref="E58:O58" si="2">+D58+E57</f>
        <v>4459033.1500000004</v>
      </c>
      <c r="F58" s="158">
        <f>+E58+F57</f>
        <v>7306991.4299999997</v>
      </c>
      <c r="G58" s="158">
        <f t="shared" si="2"/>
        <v>10716417.640000001</v>
      </c>
      <c r="H58" s="158">
        <f t="shared" si="2"/>
        <v>14053059.540000001</v>
      </c>
      <c r="I58" s="158">
        <f t="shared" si="2"/>
        <v>17940240.890000001</v>
      </c>
      <c r="J58" s="158">
        <f t="shared" si="2"/>
        <v>20863314.850000001</v>
      </c>
      <c r="K58" s="159">
        <f t="shared" si="2"/>
        <v>20863314.850000001</v>
      </c>
      <c r="L58" s="159">
        <f t="shared" si="2"/>
        <v>24313103.370000001</v>
      </c>
      <c r="M58" s="159">
        <f t="shared" si="2"/>
        <v>29264404</v>
      </c>
      <c r="N58" s="160">
        <f t="shared" si="2"/>
        <v>33244805.350000001</v>
      </c>
      <c r="O58" s="161">
        <f t="shared" si="2"/>
        <v>39288695.710000001</v>
      </c>
      <c r="P58" s="677"/>
    </row>
    <row r="59" spans="2:17" ht="18.75" x14ac:dyDescent="0.3">
      <c r="B59" s="303" t="s">
        <v>131</v>
      </c>
      <c r="C59" s="622">
        <f>+'Enero 16'!P34</f>
        <v>3067773.9400000004</v>
      </c>
      <c r="D59" s="622">
        <f>+'Febrero 16'!P35</f>
        <v>2739497</v>
      </c>
      <c r="E59" s="622">
        <f>+'Marzo 16'!R37</f>
        <v>4831677.45</v>
      </c>
      <c r="F59" s="622">
        <f>+'Abril 21'!R37</f>
        <v>6600354.3000000007</v>
      </c>
      <c r="G59" s="622">
        <f>+'mayo 21'!R37</f>
        <v>6451832.75</v>
      </c>
      <c r="H59" s="622">
        <f>+'junio 21'!R37</f>
        <v>6439270.7999999998</v>
      </c>
      <c r="I59" s="147"/>
      <c r="J59" s="147"/>
      <c r="K59" s="147"/>
      <c r="L59" s="148"/>
      <c r="M59" s="155"/>
      <c r="N59" s="156"/>
      <c r="O59" s="149"/>
      <c r="P59" s="676">
        <f>+O60</f>
        <v>30130406.240000002</v>
      </c>
    </row>
    <row r="60" spans="2:17" ht="19.5" thickBot="1" x14ac:dyDescent="0.35">
      <c r="B60" s="157" t="s">
        <v>132</v>
      </c>
      <c r="C60" s="158">
        <f>+C59</f>
        <v>3067773.9400000004</v>
      </c>
      <c r="D60" s="158">
        <f t="shared" ref="D60:O60" si="3">+C60+D59</f>
        <v>5807270.9400000004</v>
      </c>
      <c r="E60" s="158">
        <f t="shared" si="3"/>
        <v>10638948.390000001</v>
      </c>
      <c r="F60" s="158">
        <f t="shared" si="3"/>
        <v>17239302.690000001</v>
      </c>
      <c r="G60" s="158">
        <f t="shared" si="3"/>
        <v>23691135.440000001</v>
      </c>
      <c r="H60" s="158">
        <f t="shared" si="3"/>
        <v>30130406.240000002</v>
      </c>
      <c r="I60" s="158">
        <f t="shared" si="3"/>
        <v>30130406.240000002</v>
      </c>
      <c r="J60" s="158">
        <f t="shared" si="3"/>
        <v>30130406.240000002</v>
      </c>
      <c r="K60" s="159">
        <f t="shared" si="3"/>
        <v>30130406.240000002</v>
      </c>
      <c r="L60" s="159">
        <f t="shared" si="3"/>
        <v>30130406.240000002</v>
      </c>
      <c r="M60" s="159">
        <f t="shared" si="3"/>
        <v>30130406.240000002</v>
      </c>
      <c r="N60" s="160">
        <f t="shared" si="3"/>
        <v>30130406.240000002</v>
      </c>
      <c r="O60" s="161">
        <f t="shared" si="3"/>
        <v>30130406.240000002</v>
      </c>
      <c r="P60" s="677"/>
    </row>
    <row r="61" spans="2:17" ht="32.25" customHeight="1" x14ac:dyDescent="0.3">
      <c r="B61" s="162" t="s">
        <v>136</v>
      </c>
      <c r="C61" s="163">
        <f t="shared" ref="C61:H61" si="4">+(C60-C58)/C58</f>
        <v>1.6335420892584176</v>
      </c>
      <c r="D61" s="163">
        <f t="shared" si="4"/>
        <v>1.2745463349532502</v>
      </c>
      <c r="E61" s="163">
        <f t="shared" si="4"/>
        <v>1.3859316654777505</v>
      </c>
      <c r="F61" s="163">
        <f t="shared" si="4"/>
        <v>1.3592887517592178</v>
      </c>
      <c r="G61" s="163">
        <f t="shared" si="4"/>
        <v>1.2107327500535898</v>
      </c>
      <c r="H61" s="163">
        <f t="shared" si="4"/>
        <v>1.1440460103536998</v>
      </c>
      <c r="I61" s="164">
        <f t="shared" ref="I61:O61" si="5">+(I58-I56)/I56</f>
        <v>0.66285854988300053</v>
      </c>
      <c r="J61" s="164">
        <f t="shared" si="5"/>
        <v>0.63066991809145034</v>
      </c>
      <c r="K61" s="164">
        <f t="shared" si="5"/>
        <v>0.41502169310887188</v>
      </c>
      <c r="L61" s="164">
        <f t="shared" si="5"/>
        <v>0.45639676164892778</v>
      </c>
      <c r="M61" s="164">
        <f t="shared" si="5"/>
        <v>0.53620300814675037</v>
      </c>
      <c r="N61" s="165">
        <f t="shared" si="5"/>
        <v>0.57628362963561441</v>
      </c>
      <c r="O61" s="164">
        <f t="shared" si="5"/>
        <v>0.61050123566150905</v>
      </c>
      <c r="P61" s="166">
        <f>+(P57-P55)/P55</f>
        <v>0.61050123566150905</v>
      </c>
    </row>
    <row r="62" spans="2:17" ht="22.5" customHeight="1" x14ac:dyDescent="0.3">
      <c r="B62" s="167" t="s">
        <v>119</v>
      </c>
      <c r="C62" s="168">
        <f>+'Enero 16'!P39</f>
        <v>9197</v>
      </c>
      <c r="D62" s="169">
        <f>+'Febrero 16'!P39</f>
        <v>7508</v>
      </c>
      <c r="E62" s="169">
        <f>+'Marzo 16'!Q42</f>
        <v>6522</v>
      </c>
      <c r="F62" s="478">
        <f>+'Abril 21'!R42</f>
        <v>6369</v>
      </c>
      <c r="G62" s="478">
        <v>6022</v>
      </c>
      <c r="H62" s="478">
        <f>+'junio 21'!R42</f>
        <v>6568</v>
      </c>
      <c r="I62" s="169"/>
      <c r="J62" s="169"/>
      <c r="K62" s="169"/>
      <c r="L62" s="169"/>
      <c r="M62" s="170"/>
      <c r="N62" s="171"/>
      <c r="O62" s="170"/>
      <c r="P62" s="172">
        <f>SUM(C62:O62)</f>
        <v>42186</v>
      </c>
    </row>
    <row r="63" spans="2:17" ht="21.75" customHeight="1" thickBot="1" x14ac:dyDescent="0.35">
      <c r="B63" s="173" t="s">
        <v>118</v>
      </c>
      <c r="C63" s="174">
        <f>+C59/C62</f>
        <v>333.5624594976623</v>
      </c>
      <c r="D63" s="175">
        <f>+'Febrero 16'!P41</f>
        <v>364.87706446457111</v>
      </c>
      <c r="E63" s="175">
        <f>+'Marzo 16'!R42</f>
        <v>639.738312471114</v>
      </c>
      <c r="F63" s="175">
        <f>+'Abril 21'!R44</f>
        <v>1036.3250588789449</v>
      </c>
      <c r="G63" s="175">
        <v>916</v>
      </c>
      <c r="H63" s="175">
        <f>+'junio 21'!R43</f>
        <v>980.40054811205846</v>
      </c>
      <c r="I63" s="175"/>
      <c r="J63" s="176"/>
      <c r="K63" s="176"/>
      <c r="L63" s="176"/>
      <c r="M63" s="176"/>
      <c r="N63" s="176"/>
      <c r="O63" s="176"/>
      <c r="P63" s="177">
        <f>+P57/P62</f>
        <v>931.32071564025978</v>
      </c>
    </row>
    <row r="64" spans="2:17" s="178" customFormat="1" ht="7.5" customHeight="1" thickBot="1" x14ac:dyDescent="0.35">
      <c r="B64" s="179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1"/>
      <c r="O64" s="181"/>
    </row>
    <row r="65" spans="1:18" ht="20.25" customHeight="1" thickBot="1" x14ac:dyDescent="0.35">
      <c r="B65" s="182" t="s">
        <v>54</v>
      </c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4"/>
      <c r="N65" s="185"/>
      <c r="O65" s="185"/>
    </row>
    <row r="66" spans="1:18" ht="23.25" thickBot="1" x14ac:dyDescent="0.5">
      <c r="A66" s="117"/>
      <c r="B66" s="186" t="s">
        <v>137</v>
      </c>
      <c r="C66" s="187">
        <f t="shared" ref="C66:I66" si="6">+C57-C55</f>
        <v>482196.85999999987</v>
      </c>
      <c r="D66" s="187">
        <f t="shared" si="6"/>
        <v>225035.65000000014</v>
      </c>
      <c r="E66" s="187">
        <f t="shared" si="6"/>
        <v>349908.54999999981</v>
      </c>
      <c r="F66" s="187">
        <f t="shared" si="6"/>
        <v>999448.12999999966</v>
      </c>
      <c r="G66" s="187">
        <f t="shared" si="6"/>
        <v>1414235.7400000002</v>
      </c>
      <c r="H66" s="187">
        <f t="shared" si="6"/>
        <v>1603290.2199999997</v>
      </c>
      <c r="I66" s="187">
        <f t="shared" si="6"/>
        <v>2077330.21</v>
      </c>
      <c r="J66" s="187">
        <f t="shared" ref="J66:O66" si="7">+J57-J55</f>
        <v>917548.2</v>
      </c>
      <c r="K66" s="187">
        <f t="shared" si="7"/>
        <v>-1949844.79</v>
      </c>
      <c r="L66" s="187">
        <f t="shared" si="7"/>
        <v>1499943.73</v>
      </c>
      <c r="M66" s="187">
        <f t="shared" si="7"/>
        <v>2595482.9</v>
      </c>
      <c r="N66" s="187">
        <f t="shared" si="7"/>
        <v>1939605.95</v>
      </c>
      <c r="O66" s="188">
        <f t="shared" si="7"/>
        <v>2739192.6799999992</v>
      </c>
      <c r="P66" s="189">
        <f>SUM(C66:O66)</f>
        <v>14893374.029999999</v>
      </c>
    </row>
    <row r="67" spans="1:18" ht="18.75" x14ac:dyDescent="0.3">
      <c r="A67" s="117"/>
      <c r="B67" s="186" t="s">
        <v>55</v>
      </c>
      <c r="C67" s="190">
        <f>+C66/C55</f>
        <v>0.70632073580174737</v>
      </c>
      <c r="D67" s="190">
        <f t="shared" ref="D67:O67" si="8">+D66/D55</f>
        <v>0.19345674749542227</v>
      </c>
      <c r="E67" s="190">
        <f t="shared" si="8"/>
        <v>0.22488145489283223</v>
      </c>
      <c r="F67" s="190">
        <f t="shared" si="8"/>
        <v>0.5406776532982519</v>
      </c>
      <c r="G67" s="190">
        <f t="shared" si="8"/>
        <v>0.70882242135007811</v>
      </c>
      <c r="H67" s="190">
        <f t="shared" si="8"/>
        <v>0.92496533652074553</v>
      </c>
      <c r="I67" s="190">
        <f t="shared" si="8"/>
        <v>1.1477906464727259</v>
      </c>
      <c r="J67" s="190">
        <f t="shared" si="8"/>
        <v>0.45751005462029065</v>
      </c>
      <c r="K67" s="190">
        <f t="shared" si="8"/>
        <v>-1</v>
      </c>
      <c r="L67" s="190">
        <f t="shared" si="8"/>
        <v>0.76926314222169445</v>
      </c>
      <c r="M67" s="190">
        <f t="shared" si="8"/>
        <v>1.1017333246744858</v>
      </c>
      <c r="N67" s="190">
        <f t="shared" si="8"/>
        <v>0.9504166610724426</v>
      </c>
      <c r="O67" s="190">
        <f t="shared" si="8"/>
        <v>0.8288784467570417</v>
      </c>
      <c r="P67" s="190">
        <f>+P66/P55</f>
        <v>0.61050123566150905</v>
      </c>
    </row>
    <row r="68" spans="1:18" ht="15.75" thickBot="1" x14ac:dyDescent="0.35">
      <c r="R68" s="191"/>
    </row>
    <row r="69" spans="1:18" ht="23.25" thickBot="1" x14ac:dyDescent="0.5">
      <c r="B69" s="343" t="s">
        <v>138</v>
      </c>
      <c r="C69" s="344">
        <f t="shared" ref="C69:H69" si="9">+C59-C57</f>
        <v>1902888.8400000005</v>
      </c>
      <c r="D69" s="344">
        <f t="shared" si="9"/>
        <v>1351226.4</v>
      </c>
      <c r="E69" s="344">
        <f t="shared" si="9"/>
        <v>2925800</v>
      </c>
      <c r="F69" s="344">
        <f t="shared" si="9"/>
        <v>3752396.0200000009</v>
      </c>
      <c r="G69" s="344">
        <f t="shared" si="9"/>
        <v>3042406.54</v>
      </c>
      <c r="H69" s="344">
        <f t="shared" si="9"/>
        <v>3102628.9</v>
      </c>
      <c r="I69" s="344"/>
      <c r="J69" s="344"/>
      <c r="K69" s="344"/>
      <c r="L69" s="344"/>
      <c r="M69" s="344"/>
      <c r="N69" s="344"/>
      <c r="O69" s="344"/>
      <c r="P69" s="345">
        <f>SUM(C69:O69)</f>
        <v>16077346.700000001</v>
      </c>
    </row>
    <row r="70" spans="1:18" ht="18.75" x14ac:dyDescent="0.3">
      <c r="B70" s="186" t="s">
        <v>55</v>
      </c>
      <c r="C70" s="346">
        <f t="shared" ref="C70:H70" si="10">+C69/C57</f>
        <v>1.6335420892584176</v>
      </c>
      <c r="D70" s="346">
        <f t="shared" si="10"/>
        <v>0.9733162972694227</v>
      </c>
      <c r="E70" s="346">
        <f t="shared" si="10"/>
        <v>1.5351459245189139</v>
      </c>
      <c r="F70" s="346">
        <f t="shared" si="10"/>
        <v>1.317574083283271</v>
      </c>
      <c r="G70" s="346">
        <f t="shared" si="10"/>
        <v>0.89235148456255931</v>
      </c>
      <c r="H70" s="346">
        <f t="shared" si="10"/>
        <v>0.92986571318905997</v>
      </c>
      <c r="I70" s="346"/>
      <c r="J70" s="346"/>
      <c r="K70" s="346"/>
      <c r="L70" s="346"/>
      <c r="M70" s="346"/>
      <c r="N70" s="346"/>
      <c r="O70" s="346"/>
      <c r="P70" s="346">
        <f>AVERAGE(C70:O70)</f>
        <v>1.2136325986802741</v>
      </c>
    </row>
    <row r="71" spans="1:18" x14ac:dyDescent="0.3">
      <c r="J71" s="192"/>
    </row>
    <row r="72" spans="1:18" x14ac:dyDescent="0.3">
      <c r="J72" s="193"/>
      <c r="M72" s="194"/>
      <c r="N72" s="192"/>
      <c r="O72" s="193"/>
    </row>
    <row r="73" spans="1:18" x14ac:dyDescent="0.3">
      <c r="F73" s="454" t="s">
        <v>139</v>
      </c>
      <c r="G73" s="454" t="s">
        <v>106</v>
      </c>
      <c r="H73" s="454" t="s">
        <v>140</v>
      </c>
      <c r="J73" s="192"/>
      <c r="N73" s="192"/>
      <c r="O73" s="193"/>
    </row>
    <row r="74" spans="1:18" x14ac:dyDescent="0.3">
      <c r="E74" s="452">
        <v>2018</v>
      </c>
      <c r="F74" s="453">
        <f>+(F53-E53)/E53</f>
        <v>3.7720715254556678E-3</v>
      </c>
      <c r="G74" s="453">
        <f>+(G53-F53)/F53</f>
        <v>0.22483092102075045</v>
      </c>
      <c r="H74" s="453">
        <f>+(H53-G53)/G53</f>
        <v>-7.8719619976919727E-3</v>
      </c>
      <c r="J74" s="193"/>
      <c r="N74" s="192"/>
      <c r="O74" s="193"/>
    </row>
    <row r="75" spans="1:18" x14ac:dyDescent="0.3">
      <c r="E75" s="452"/>
      <c r="F75" s="453"/>
      <c r="G75" s="453"/>
      <c r="H75" s="453"/>
      <c r="N75" s="192"/>
      <c r="O75" s="193"/>
    </row>
    <row r="76" spans="1:18" x14ac:dyDescent="0.3">
      <c r="E76" s="452">
        <v>2019</v>
      </c>
      <c r="F76" s="453">
        <f t="shared" ref="F76:H78" si="11">+(F55-E55)/E55</f>
        <v>0.18801227325301936</v>
      </c>
      <c r="G76" s="453">
        <f t="shared" si="11"/>
        <v>7.9350562397506763E-2</v>
      </c>
      <c r="H76" s="453">
        <f t="shared" si="11"/>
        <v>-0.1312349842970128</v>
      </c>
    </row>
    <row r="77" spans="1:18" x14ac:dyDescent="0.3">
      <c r="E77" s="452"/>
      <c r="F77" s="453"/>
      <c r="G77" s="453"/>
      <c r="H77" s="453"/>
    </row>
    <row r="78" spans="1:18" x14ac:dyDescent="0.3">
      <c r="E78" s="452">
        <v>2020</v>
      </c>
      <c r="F78" s="453">
        <f t="shared" si="11"/>
        <v>0.49430294167130201</v>
      </c>
      <c r="G78" s="453">
        <f t="shared" si="11"/>
        <v>0.1971475263324434</v>
      </c>
      <c r="H78" s="453">
        <f t="shared" si="11"/>
        <v>-2.1347964589032726E-2</v>
      </c>
    </row>
    <row r="79" spans="1:18" x14ac:dyDescent="0.3">
      <c r="F79" s="154"/>
    </row>
    <row r="82" spans="2:12" ht="22.5" x14ac:dyDescent="0.45">
      <c r="B82" s="675" t="s">
        <v>141</v>
      </c>
      <c r="C82" s="675"/>
      <c r="D82" s="675"/>
      <c r="E82" s="675"/>
      <c r="F82" s="675" t="s">
        <v>142</v>
      </c>
      <c r="G82" s="675"/>
      <c r="H82" s="675"/>
      <c r="I82" s="675"/>
      <c r="J82" s="675"/>
      <c r="K82" s="675"/>
      <c r="L82" s="675"/>
    </row>
    <row r="87" spans="2:12" x14ac:dyDescent="0.3">
      <c r="F87" s="193"/>
      <c r="G87" s="193"/>
      <c r="H87" s="193"/>
    </row>
  </sheetData>
  <mergeCells count="15">
    <mergeCell ref="K13:N14"/>
    <mergeCell ref="C2:K5"/>
    <mergeCell ref="B8:I8"/>
    <mergeCell ref="K8:N8"/>
    <mergeCell ref="K9:N10"/>
    <mergeCell ref="K12:N12"/>
    <mergeCell ref="B82:E82"/>
    <mergeCell ref="P59:P60"/>
    <mergeCell ref="K16:N16"/>
    <mergeCell ref="K17:N32"/>
    <mergeCell ref="K34:N34"/>
    <mergeCell ref="P53:P54"/>
    <mergeCell ref="P55:P56"/>
    <mergeCell ref="P57:P58"/>
    <mergeCell ref="F82:L82"/>
  </mergeCells>
  <phoneticPr fontId="55" type="noConversion"/>
  <printOptions horizontalCentered="1"/>
  <pageMargins left="0.19685039370078741" right="0.19685039370078741" top="0.18" bottom="0.16" header="0" footer="0"/>
  <pageSetup paperSize="9" scale="28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R64"/>
  <sheetViews>
    <sheetView topLeftCell="B31" zoomScale="60" zoomScaleNormal="60" zoomScaleSheetLayoutView="40" workbookViewId="0">
      <selection activeCell="H57" sqref="H57"/>
    </sheetView>
  </sheetViews>
  <sheetFormatPr baseColWidth="10" defaultRowHeight="15" x14ac:dyDescent="0.3"/>
  <cols>
    <col min="1" max="1" width="4.140625" style="98" customWidth="1"/>
    <col min="2" max="2" width="31.85546875" style="98" customWidth="1"/>
    <col min="3" max="3" width="20.7109375" style="98" customWidth="1"/>
    <col min="4" max="7" width="20.28515625" style="98" bestFit="1" customWidth="1"/>
    <col min="8" max="8" width="20.140625" style="98" customWidth="1"/>
    <col min="9" max="9" width="21.140625" style="98" customWidth="1"/>
    <col min="10" max="10" width="21.42578125" style="98" customWidth="1"/>
    <col min="11" max="11" width="9.42578125" style="98" hidden="1" customWidth="1"/>
    <col min="12" max="12" width="20.28515625" style="98" bestFit="1" customWidth="1"/>
    <col min="13" max="13" width="21.85546875" style="98" bestFit="1" customWidth="1"/>
    <col min="14" max="14" width="27.28515625" style="98" bestFit="1" customWidth="1"/>
    <col min="15" max="15" width="21.85546875" style="98" bestFit="1" customWidth="1"/>
    <col min="16" max="16" width="25.7109375" style="98" customWidth="1"/>
    <col min="17" max="17" width="8.7109375" style="98" customWidth="1"/>
    <col min="18" max="18" width="15.28515625" style="98" bestFit="1" customWidth="1"/>
    <col min="19" max="16384" width="11.42578125" style="98"/>
  </cols>
  <sheetData>
    <row r="1" spans="2:17" ht="15.75" thickBot="1" x14ac:dyDescent="0.35"/>
    <row r="2" spans="2:17" s="102" customFormat="1" ht="27" customHeight="1" thickBot="1" x14ac:dyDescent="0.35">
      <c r="B2" s="99"/>
      <c r="C2" s="699" t="s">
        <v>157</v>
      </c>
      <c r="D2" s="700"/>
      <c r="E2" s="700"/>
      <c r="F2" s="700"/>
      <c r="G2" s="700"/>
      <c r="H2" s="700"/>
      <c r="I2" s="700"/>
      <c r="J2" s="700"/>
      <c r="K2" s="700"/>
      <c r="L2" s="100" t="s">
        <v>30</v>
      </c>
      <c r="M2" s="100" t="s">
        <v>31</v>
      </c>
      <c r="N2" s="101" t="s">
        <v>56</v>
      </c>
    </row>
    <row r="3" spans="2:17" s="102" customFormat="1" ht="39.950000000000003" customHeight="1" x14ac:dyDescent="0.3">
      <c r="B3" s="103"/>
      <c r="C3" s="701"/>
      <c r="D3" s="702"/>
      <c r="E3" s="702"/>
      <c r="F3" s="702"/>
      <c r="G3" s="702"/>
      <c r="H3" s="702"/>
      <c r="I3" s="702"/>
      <c r="J3" s="703"/>
      <c r="K3" s="703"/>
      <c r="L3" s="104">
        <v>44348</v>
      </c>
      <c r="M3" s="105" t="str">
        <f>+H56</f>
        <v xml:space="preserve"> </v>
      </c>
      <c r="N3" s="627" t="e">
        <f>+(M3-M4)/M4</f>
        <v>#VALUE!</v>
      </c>
      <c r="O3" s="107"/>
      <c r="P3" s="108"/>
      <c r="Q3" s="108"/>
    </row>
    <row r="4" spans="2:17" s="102" customFormat="1" ht="39.950000000000003" customHeight="1" x14ac:dyDescent="0.3">
      <c r="B4" s="103"/>
      <c r="C4" s="701"/>
      <c r="D4" s="702"/>
      <c r="E4" s="702"/>
      <c r="F4" s="702"/>
      <c r="G4" s="702"/>
      <c r="H4" s="702"/>
      <c r="I4" s="702"/>
      <c r="J4" s="702"/>
      <c r="K4" s="702"/>
      <c r="L4" s="109">
        <v>44317</v>
      </c>
      <c r="M4" s="110">
        <f>+G56</f>
        <v>6451832.75</v>
      </c>
      <c r="N4" s="441">
        <f>+G58</f>
        <v>0.1971475263324434</v>
      </c>
      <c r="O4" s="98"/>
    </row>
    <row r="5" spans="2:17" s="102" customFormat="1" ht="39.950000000000003" customHeight="1" thickBot="1" x14ac:dyDescent="0.35">
      <c r="B5" s="112"/>
      <c r="C5" s="701"/>
      <c r="D5" s="702"/>
      <c r="E5" s="702"/>
      <c r="F5" s="702"/>
      <c r="G5" s="702"/>
      <c r="H5" s="702"/>
      <c r="I5" s="702"/>
      <c r="J5" s="702"/>
      <c r="K5" s="702"/>
      <c r="L5" s="113">
        <v>44287</v>
      </c>
      <c r="M5" s="114">
        <v>6600354.3000000007</v>
      </c>
      <c r="N5" s="441">
        <f>+F58</f>
        <v>0.49430294167130201</v>
      </c>
      <c r="O5" s="98"/>
    </row>
    <row r="6" spans="2:17" ht="12.75" customHeight="1" x14ac:dyDescent="0.3">
      <c r="B6" s="116"/>
      <c r="C6" s="117"/>
      <c r="D6" s="117"/>
      <c r="E6" s="117"/>
      <c r="F6" s="118"/>
      <c r="G6" s="118"/>
      <c r="H6" s="117"/>
      <c r="I6" s="117"/>
      <c r="J6" s="117"/>
      <c r="K6" s="117"/>
      <c r="L6" s="117"/>
      <c r="M6" s="117"/>
      <c r="N6" s="119"/>
    </row>
    <row r="7" spans="2:17" ht="12.75" customHeight="1" x14ac:dyDescent="0.3">
      <c r="B7" s="116"/>
      <c r="C7" s="117"/>
      <c r="D7" s="117"/>
      <c r="E7" s="117"/>
      <c r="F7" s="118"/>
      <c r="G7" s="118"/>
      <c r="H7" s="117"/>
      <c r="I7" s="117"/>
      <c r="J7" s="117"/>
      <c r="K7" s="117"/>
      <c r="L7" s="117"/>
      <c r="M7" s="117"/>
      <c r="N7" s="119"/>
    </row>
    <row r="8" spans="2:17" x14ac:dyDescent="0.3">
      <c r="B8" s="704"/>
      <c r="C8" s="679"/>
      <c r="D8" s="679"/>
      <c r="E8" s="679"/>
      <c r="F8" s="679"/>
      <c r="G8" s="679"/>
      <c r="H8" s="679"/>
      <c r="I8" s="705"/>
      <c r="J8" s="117"/>
      <c r="K8" s="690" t="s">
        <v>33</v>
      </c>
      <c r="L8" s="691"/>
      <c r="M8" s="691"/>
      <c r="N8" s="692"/>
    </row>
    <row r="9" spans="2:17" ht="12.75" customHeight="1" x14ac:dyDescent="0.3">
      <c r="B9" s="116"/>
      <c r="C9" s="117"/>
      <c r="D9" s="117"/>
      <c r="E9" s="117"/>
      <c r="F9" s="117"/>
      <c r="G9" s="117"/>
      <c r="H9" s="117"/>
      <c r="I9" s="117"/>
      <c r="J9" s="117"/>
      <c r="K9" s="693" t="s">
        <v>101</v>
      </c>
      <c r="L9" s="694"/>
      <c r="M9" s="694"/>
      <c r="N9" s="695"/>
    </row>
    <row r="10" spans="2:17" ht="12.75" customHeight="1" x14ac:dyDescent="0.3">
      <c r="B10" s="116"/>
      <c r="C10" s="117"/>
      <c r="D10" s="117"/>
      <c r="E10" s="117"/>
      <c r="F10" s="117"/>
      <c r="G10" s="117"/>
      <c r="H10" s="117"/>
      <c r="I10" s="117"/>
      <c r="J10" s="117"/>
      <c r="K10" s="696"/>
      <c r="L10" s="697"/>
      <c r="M10" s="697"/>
      <c r="N10" s="698"/>
    </row>
    <row r="11" spans="2:17" x14ac:dyDescent="0.3"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9"/>
    </row>
    <row r="12" spans="2:17" x14ac:dyDescent="0.3">
      <c r="B12" s="116"/>
      <c r="C12" s="117"/>
      <c r="D12" s="117"/>
      <c r="E12" s="117"/>
      <c r="F12" s="117"/>
      <c r="G12" s="117"/>
      <c r="H12" s="117"/>
      <c r="I12" s="117"/>
      <c r="J12" s="117"/>
      <c r="K12" s="690" t="s">
        <v>34</v>
      </c>
      <c r="L12" s="691"/>
      <c r="M12" s="691"/>
      <c r="N12" s="692"/>
    </row>
    <row r="13" spans="2:17" ht="18" customHeight="1" x14ac:dyDescent="0.3">
      <c r="B13" s="116"/>
      <c r="C13" s="117"/>
      <c r="D13" s="117"/>
      <c r="E13" s="117"/>
      <c r="F13" s="117"/>
      <c r="G13" s="117"/>
      <c r="H13" s="117"/>
      <c r="I13" s="117"/>
      <c r="J13" s="117"/>
      <c r="K13" s="693" t="s">
        <v>101</v>
      </c>
      <c r="L13" s="694"/>
      <c r="M13" s="694"/>
      <c r="N13" s="695"/>
    </row>
    <row r="14" spans="2:17" ht="15" customHeight="1" x14ac:dyDescent="0.3">
      <c r="B14" s="116"/>
      <c r="C14" s="117"/>
      <c r="D14" s="117"/>
      <c r="E14" s="117"/>
      <c r="F14" s="117"/>
      <c r="G14" s="117"/>
      <c r="H14" s="117"/>
      <c r="I14" s="117"/>
      <c r="J14" s="117"/>
      <c r="K14" s="696"/>
      <c r="L14" s="697"/>
      <c r="M14" s="697"/>
      <c r="N14" s="698"/>
    </row>
    <row r="15" spans="2:17" ht="18" customHeight="1" x14ac:dyDescent="0.3">
      <c r="B15" s="116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9"/>
    </row>
    <row r="16" spans="2:17" ht="14.25" customHeight="1" thickBot="1" x14ac:dyDescent="0.35">
      <c r="B16" s="116"/>
      <c r="C16" s="117"/>
      <c r="D16" s="117"/>
      <c r="E16" s="117"/>
      <c r="F16" s="117"/>
      <c r="G16" s="117"/>
      <c r="H16" s="117"/>
      <c r="I16" s="117"/>
      <c r="J16" s="117"/>
      <c r="K16" s="678"/>
      <c r="L16" s="679"/>
      <c r="M16" s="679"/>
      <c r="N16" s="680"/>
    </row>
    <row r="17" spans="2:14" ht="15" customHeight="1" x14ac:dyDescent="0.3">
      <c r="B17" s="116"/>
      <c r="C17" s="117"/>
      <c r="D17" s="117"/>
      <c r="E17" s="117"/>
      <c r="F17" s="117"/>
      <c r="G17" s="117"/>
      <c r="H17" s="117"/>
      <c r="I17" s="117"/>
      <c r="J17" s="117"/>
      <c r="K17" s="681"/>
      <c r="L17" s="682"/>
      <c r="M17" s="682"/>
      <c r="N17" s="683"/>
    </row>
    <row r="18" spans="2:14" x14ac:dyDescent="0.3">
      <c r="B18" s="116"/>
      <c r="C18" s="117"/>
      <c r="D18" s="117"/>
      <c r="E18" s="117"/>
      <c r="F18" s="117"/>
      <c r="G18" s="117"/>
      <c r="H18" s="117"/>
      <c r="I18" s="117"/>
      <c r="J18" s="117"/>
      <c r="K18" s="684"/>
      <c r="L18" s="685"/>
      <c r="M18" s="685"/>
      <c r="N18" s="686"/>
    </row>
    <row r="19" spans="2:14" x14ac:dyDescent="0.3">
      <c r="B19" s="116"/>
      <c r="C19" s="117"/>
      <c r="D19" s="117"/>
      <c r="E19" s="117"/>
      <c r="F19" s="117"/>
      <c r="G19" s="117"/>
      <c r="H19" s="117"/>
      <c r="I19" s="117"/>
      <c r="J19" s="117"/>
      <c r="K19" s="684"/>
      <c r="L19" s="685"/>
      <c r="M19" s="685"/>
      <c r="N19" s="686"/>
    </row>
    <row r="20" spans="2:14" x14ac:dyDescent="0.3">
      <c r="B20" s="116"/>
      <c r="C20" s="117"/>
      <c r="D20" s="117"/>
      <c r="E20" s="117"/>
      <c r="F20" s="117"/>
      <c r="G20" s="117"/>
      <c r="H20" s="117"/>
      <c r="I20" s="117"/>
      <c r="J20" s="117"/>
      <c r="K20" s="684"/>
      <c r="L20" s="685"/>
      <c r="M20" s="685"/>
      <c r="N20" s="686"/>
    </row>
    <row r="21" spans="2:14" x14ac:dyDescent="0.3">
      <c r="B21" s="116"/>
      <c r="C21" s="117"/>
      <c r="D21" s="117"/>
      <c r="E21" s="117"/>
      <c r="F21" s="117"/>
      <c r="G21" s="117"/>
      <c r="H21" s="117"/>
      <c r="I21" s="117"/>
      <c r="J21" s="117"/>
      <c r="K21" s="684"/>
      <c r="L21" s="685"/>
      <c r="M21" s="685"/>
      <c r="N21" s="686"/>
    </row>
    <row r="22" spans="2:14" x14ac:dyDescent="0.3">
      <c r="B22" s="116"/>
      <c r="C22" s="117"/>
      <c r="D22" s="117"/>
      <c r="E22" s="117"/>
      <c r="F22" s="117"/>
      <c r="G22" s="117"/>
      <c r="H22" s="117"/>
      <c r="I22" s="117"/>
      <c r="J22" s="117"/>
      <c r="K22" s="684"/>
      <c r="L22" s="685"/>
      <c r="M22" s="685"/>
      <c r="N22" s="686"/>
    </row>
    <row r="23" spans="2:14" x14ac:dyDescent="0.3">
      <c r="B23" s="116"/>
      <c r="C23" s="117"/>
      <c r="D23" s="117"/>
      <c r="E23" s="117"/>
      <c r="F23" s="117"/>
      <c r="G23" s="117"/>
      <c r="H23" s="117"/>
      <c r="I23" s="117"/>
      <c r="J23" s="117"/>
      <c r="K23" s="684"/>
      <c r="L23" s="685"/>
      <c r="M23" s="685"/>
      <c r="N23" s="686"/>
    </row>
    <row r="24" spans="2:14" x14ac:dyDescent="0.3">
      <c r="B24" s="116"/>
      <c r="C24" s="117"/>
      <c r="D24" s="117"/>
      <c r="E24" s="117"/>
      <c r="F24" s="117"/>
      <c r="G24" s="117"/>
      <c r="H24" s="117"/>
      <c r="I24" s="117"/>
      <c r="J24" s="117"/>
      <c r="K24" s="684"/>
      <c r="L24" s="685"/>
      <c r="M24" s="685"/>
      <c r="N24" s="686"/>
    </row>
    <row r="25" spans="2:14" x14ac:dyDescent="0.3">
      <c r="B25" s="116"/>
      <c r="C25" s="117"/>
      <c r="D25" s="117"/>
      <c r="E25" s="117"/>
      <c r="F25" s="117"/>
      <c r="G25" s="117"/>
      <c r="H25" s="117"/>
      <c r="I25" s="117"/>
      <c r="J25" s="117"/>
      <c r="K25" s="684"/>
      <c r="L25" s="685"/>
      <c r="M25" s="685"/>
      <c r="N25" s="686"/>
    </row>
    <row r="26" spans="2:14" x14ac:dyDescent="0.3">
      <c r="B26" s="116"/>
      <c r="C26" s="117"/>
      <c r="D26" s="117"/>
      <c r="E26" s="117"/>
      <c r="F26" s="117"/>
      <c r="G26" s="117"/>
      <c r="H26" s="117"/>
      <c r="I26" s="117"/>
      <c r="J26" s="117"/>
      <c r="K26" s="684"/>
      <c r="L26" s="685"/>
      <c r="M26" s="685"/>
      <c r="N26" s="686"/>
    </row>
    <row r="27" spans="2:14" x14ac:dyDescent="0.3">
      <c r="B27" s="116"/>
      <c r="C27" s="117"/>
      <c r="D27" s="117"/>
      <c r="E27" s="117"/>
      <c r="F27" s="117"/>
      <c r="G27" s="117"/>
      <c r="H27" s="117"/>
      <c r="I27" s="117"/>
      <c r="J27" s="117"/>
      <c r="K27" s="684"/>
      <c r="L27" s="685"/>
      <c r="M27" s="685"/>
      <c r="N27" s="686"/>
    </row>
    <row r="28" spans="2:14" x14ac:dyDescent="0.3">
      <c r="B28" s="116"/>
      <c r="C28" s="117"/>
      <c r="D28" s="117"/>
      <c r="E28" s="117"/>
      <c r="F28" s="117"/>
      <c r="G28" s="117"/>
      <c r="H28" s="117"/>
      <c r="I28" s="117"/>
      <c r="J28" s="117"/>
      <c r="K28" s="684"/>
      <c r="L28" s="685"/>
      <c r="M28" s="685"/>
      <c r="N28" s="686"/>
    </row>
    <row r="29" spans="2:14" x14ac:dyDescent="0.3">
      <c r="B29" s="116"/>
      <c r="C29" s="117"/>
      <c r="D29" s="117"/>
      <c r="E29" s="117"/>
      <c r="F29" s="117"/>
      <c r="G29" s="117"/>
      <c r="H29" s="117"/>
      <c r="I29" s="117"/>
      <c r="J29" s="117"/>
      <c r="K29" s="684"/>
      <c r="L29" s="685"/>
      <c r="M29" s="685"/>
      <c r="N29" s="686"/>
    </row>
    <row r="30" spans="2:14" x14ac:dyDescent="0.3">
      <c r="B30" s="116"/>
      <c r="C30" s="117"/>
      <c r="D30" s="117"/>
      <c r="E30" s="117"/>
      <c r="F30" s="117"/>
      <c r="G30" s="117"/>
      <c r="H30" s="117"/>
      <c r="I30" s="117"/>
      <c r="J30" s="117"/>
      <c r="K30" s="684"/>
      <c r="L30" s="685"/>
      <c r="M30" s="685"/>
      <c r="N30" s="686"/>
    </row>
    <row r="31" spans="2:14" x14ac:dyDescent="0.3">
      <c r="B31" s="116"/>
      <c r="C31" s="117"/>
      <c r="D31" s="117"/>
      <c r="E31" s="117"/>
      <c r="F31" s="117"/>
      <c r="G31" s="117"/>
      <c r="H31" s="117"/>
      <c r="I31" s="117"/>
      <c r="J31" s="117"/>
      <c r="K31" s="684"/>
      <c r="L31" s="685"/>
      <c r="M31" s="685"/>
      <c r="N31" s="686"/>
    </row>
    <row r="32" spans="2:14" ht="15.75" thickBot="1" x14ac:dyDescent="0.35">
      <c r="B32" s="116"/>
      <c r="C32" s="117"/>
      <c r="D32" s="117"/>
      <c r="E32" s="117"/>
      <c r="F32" s="117"/>
      <c r="G32" s="117"/>
      <c r="H32" s="117"/>
      <c r="I32" s="117"/>
      <c r="J32" s="117"/>
      <c r="K32" s="687"/>
      <c r="L32" s="688"/>
      <c r="M32" s="688"/>
      <c r="N32" s="689"/>
    </row>
    <row r="33" spans="2:14" x14ac:dyDescent="0.3">
      <c r="B33" s="116"/>
      <c r="C33" s="117"/>
      <c r="D33" s="117"/>
      <c r="E33" s="117"/>
      <c r="F33" s="117"/>
      <c r="G33" s="117"/>
      <c r="H33" s="117"/>
      <c r="I33" s="117"/>
      <c r="J33" s="117"/>
      <c r="K33" s="120"/>
      <c r="L33" s="120"/>
      <c r="M33" s="120"/>
      <c r="N33" s="121"/>
    </row>
    <row r="34" spans="2:14" x14ac:dyDescent="0.3">
      <c r="B34" s="116"/>
      <c r="C34" s="117"/>
      <c r="D34" s="117"/>
      <c r="E34" s="117"/>
      <c r="F34" s="117"/>
      <c r="G34" s="117"/>
      <c r="H34" s="117"/>
      <c r="I34" s="117"/>
      <c r="J34" s="117"/>
      <c r="K34" s="690"/>
      <c r="L34" s="691"/>
      <c r="M34" s="691"/>
      <c r="N34" s="692"/>
    </row>
    <row r="35" spans="2:14" x14ac:dyDescent="0.3">
      <c r="B35" s="116"/>
      <c r="C35" s="117"/>
      <c r="D35" s="117"/>
      <c r="E35" s="117"/>
      <c r="F35" s="117"/>
      <c r="G35" s="117"/>
      <c r="H35" s="117"/>
      <c r="I35" s="117"/>
      <c r="J35" s="117"/>
      <c r="K35" s="122"/>
      <c r="L35" s="123"/>
      <c r="M35" s="123"/>
      <c r="N35" s="124"/>
    </row>
    <row r="36" spans="2:14" x14ac:dyDescent="0.3">
      <c r="B36" s="116"/>
      <c r="C36" s="117"/>
      <c r="D36" s="117"/>
      <c r="E36" s="117"/>
      <c r="F36" s="117"/>
      <c r="G36" s="117"/>
      <c r="H36" s="117"/>
      <c r="I36" s="117"/>
      <c r="J36" s="117"/>
      <c r="K36" s="125"/>
      <c r="L36" s="126"/>
      <c r="M36" s="126"/>
      <c r="N36" s="127"/>
    </row>
    <row r="37" spans="2:14" x14ac:dyDescent="0.3">
      <c r="B37" s="116"/>
      <c r="C37" s="117"/>
      <c r="D37" s="117"/>
      <c r="E37" s="117"/>
      <c r="F37" s="117"/>
      <c r="G37" s="117"/>
      <c r="H37" s="117"/>
      <c r="I37" s="117"/>
      <c r="J37" s="117"/>
      <c r="K37" s="125"/>
      <c r="L37" s="126"/>
      <c r="M37" s="126"/>
      <c r="N37" s="127"/>
    </row>
    <row r="38" spans="2:14" x14ac:dyDescent="0.3">
      <c r="B38" s="116"/>
      <c r="C38" s="117"/>
      <c r="D38" s="117"/>
      <c r="E38" s="117"/>
      <c r="F38" s="117"/>
      <c r="G38" s="117"/>
      <c r="H38" s="117"/>
      <c r="I38" s="117"/>
      <c r="J38" s="117"/>
      <c r="K38" s="125"/>
      <c r="L38" s="126"/>
      <c r="M38" s="126"/>
      <c r="N38" s="127"/>
    </row>
    <row r="39" spans="2:14" x14ac:dyDescent="0.3">
      <c r="B39" s="116"/>
      <c r="C39" s="117"/>
      <c r="D39" s="117"/>
      <c r="E39" s="117"/>
      <c r="F39" s="117"/>
      <c r="G39" s="117"/>
      <c r="H39" s="117"/>
      <c r="I39" s="117"/>
      <c r="J39" s="117"/>
      <c r="K39" s="125"/>
      <c r="L39" s="126"/>
      <c r="M39" s="126"/>
      <c r="N39" s="127"/>
    </row>
    <row r="40" spans="2:14" x14ac:dyDescent="0.3">
      <c r="B40" s="116"/>
      <c r="C40" s="117"/>
      <c r="D40" s="117"/>
      <c r="E40" s="117"/>
      <c r="F40" s="117"/>
      <c r="G40" s="117"/>
      <c r="H40" s="117"/>
      <c r="I40" s="117"/>
      <c r="J40" s="117"/>
      <c r="K40" s="125"/>
      <c r="L40" s="126"/>
      <c r="M40" s="126"/>
      <c r="N40" s="127"/>
    </row>
    <row r="41" spans="2:14" x14ac:dyDescent="0.3">
      <c r="B41" s="116"/>
      <c r="C41" s="117"/>
      <c r="D41" s="117"/>
      <c r="E41" s="117"/>
      <c r="F41" s="117"/>
      <c r="G41" s="117"/>
      <c r="H41" s="117"/>
      <c r="I41" s="117"/>
      <c r="J41" s="117"/>
      <c r="K41" s="125"/>
      <c r="L41" s="126"/>
      <c r="M41" s="126"/>
      <c r="N41" s="127"/>
    </row>
    <row r="42" spans="2:14" ht="15.75" thickBot="1" x14ac:dyDescent="0.35">
      <c r="B42" s="116"/>
      <c r="C42" s="117"/>
      <c r="D42" s="117"/>
      <c r="E42" s="117"/>
      <c r="F42" s="117"/>
      <c r="G42" s="117"/>
      <c r="H42" s="117"/>
      <c r="I42" s="117"/>
      <c r="J42" s="117"/>
      <c r="K42" s="125"/>
      <c r="L42" s="126"/>
      <c r="M42" s="126"/>
      <c r="N42" s="127"/>
    </row>
    <row r="43" spans="2:14" ht="15.75" thickBot="1" x14ac:dyDescent="0.35">
      <c r="B43" s="195">
        <v>21100</v>
      </c>
      <c r="C43" s="129"/>
      <c r="D43" s="129"/>
      <c r="E43" s="129"/>
      <c r="F43" s="130"/>
      <c r="G43" s="129"/>
      <c r="H43" s="117"/>
      <c r="I43" s="117"/>
      <c r="J43" s="117"/>
      <c r="K43" s="125"/>
      <c r="L43" s="126"/>
      <c r="M43" s="126"/>
      <c r="N43" s="127"/>
    </row>
    <row r="44" spans="2:14" ht="15.75" thickBot="1" x14ac:dyDescent="0.35">
      <c r="B44" s="195">
        <v>21200</v>
      </c>
      <c r="C44" s="129"/>
      <c r="D44" s="129"/>
      <c r="E44" s="129"/>
      <c r="F44" s="130"/>
      <c r="G44" s="129"/>
      <c r="H44" s="117"/>
      <c r="I44" s="117" t="s">
        <v>57</v>
      </c>
      <c r="J44" s="117"/>
      <c r="K44" s="125"/>
      <c r="L44" s="126"/>
      <c r="M44" s="126"/>
      <c r="N44" s="127"/>
    </row>
    <row r="45" spans="2:14" ht="15.75" thickBot="1" x14ac:dyDescent="0.35">
      <c r="B45" s="195">
        <v>34500</v>
      </c>
      <c r="C45" s="129"/>
      <c r="D45" s="129"/>
      <c r="E45" s="129"/>
      <c r="F45" s="130"/>
      <c r="G45" s="129"/>
      <c r="H45" s="117"/>
      <c r="I45" s="117"/>
      <c r="J45" s="117"/>
      <c r="K45" s="125"/>
      <c r="L45" s="126"/>
      <c r="M45" s="126"/>
      <c r="N45" s="127"/>
    </row>
    <row r="46" spans="2:14" ht="15.75" thickBot="1" x14ac:dyDescent="0.35">
      <c r="B46" s="195">
        <v>37300</v>
      </c>
      <c r="C46" s="129"/>
      <c r="D46" s="129"/>
      <c r="E46" s="129"/>
      <c r="F46" s="130"/>
      <c r="G46" s="129"/>
      <c r="H46" s="117"/>
      <c r="I46" s="117"/>
      <c r="J46" s="117"/>
      <c r="K46" s="125"/>
      <c r="L46" s="126"/>
      <c r="M46" s="126"/>
      <c r="N46" s="127"/>
    </row>
    <row r="47" spans="2:14" ht="15.75" thickBot="1" x14ac:dyDescent="0.35">
      <c r="B47" s="195">
        <v>56000</v>
      </c>
      <c r="C47" s="129"/>
      <c r="D47" s="129"/>
      <c r="E47" s="129"/>
      <c r="F47" s="130"/>
      <c r="G47" s="129"/>
      <c r="H47" s="117"/>
      <c r="I47" s="117"/>
      <c r="J47" s="117"/>
      <c r="K47" s="125"/>
      <c r="L47" s="126"/>
      <c r="M47" s="126"/>
      <c r="N47" s="127"/>
    </row>
    <row r="48" spans="2:14" ht="15.75" thickBot="1" x14ac:dyDescent="0.35">
      <c r="B48" s="196">
        <v>80000</v>
      </c>
      <c r="C48" s="132"/>
      <c r="D48" s="132"/>
      <c r="E48" s="132"/>
      <c r="F48" s="133"/>
      <c r="G48" s="132"/>
      <c r="H48" s="117"/>
      <c r="I48" s="117"/>
      <c r="J48" s="117"/>
      <c r="K48" s="125"/>
      <c r="L48" s="126"/>
      <c r="M48" s="126"/>
      <c r="N48" s="127"/>
    </row>
    <row r="49" spans="1:18" x14ac:dyDescent="0.3">
      <c r="B49" s="116"/>
      <c r="C49" s="117"/>
      <c r="D49" s="117"/>
      <c r="E49" s="117"/>
      <c r="F49" s="117"/>
      <c r="G49" s="117"/>
      <c r="H49" s="117"/>
      <c r="I49" s="117"/>
      <c r="J49" s="117"/>
      <c r="K49" s="134"/>
      <c r="L49" s="135"/>
      <c r="M49" s="135"/>
      <c r="N49" s="136"/>
    </row>
    <row r="50" spans="1:18" x14ac:dyDescent="0.3">
      <c r="B50" s="116"/>
      <c r="C50" s="117"/>
      <c r="D50" s="117"/>
      <c r="E50" s="117"/>
      <c r="F50" s="117"/>
      <c r="G50" s="117"/>
      <c r="H50" s="117"/>
      <c r="I50" s="117"/>
      <c r="J50" s="117"/>
      <c r="K50" s="137"/>
      <c r="L50" s="137"/>
      <c r="M50" s="137"/>
      <c r="N50" s="119"/>
    </row>
    <row r="51" spans="1:18" ht="15.75" thickBot="1" x14ac:dyDescent="0.35">
      <c r="B51" s="138" t="s">
        <v>38</v>
      </c>
      <c r="C51" s="117"/>
      <c r="D51" s="117"/>
      <c r="E51" s="117"/>
      <c r="F51" s="117"/>
      <c r="G51" s="117"/>
      <c r="H51" s="117"/>
      <c r="I51" s="197"/>
      <c r="J51" s="140"/>
      <c r="K51" s="141"/>
      <c r="L51" s="117"/>
      <c r="M51" s="117"/>
      <c r="N51" s="119"/>
    </row>
    <row r="52" spans="1:18" ht="15.75" thickBot="1" x14ac:dyDescent="0.35">
      <c r="B52" s="142" t="s">
        <v>39</v>
      </c>
      <c r="C52" s="143" t="s">
        <v>40</v>
      </c>
      <c r="D52" s="143" t="s">
        <v>41</v>
      </c>
      <c r="E52" s="143" t="s">
        <v>42</v>
      </c>
      <c r="F52" s="143" t="s">
        <v>43</v>
      </c>
      <c r="G52" s="143" t="s">
        <v>44</v>
      </c>
      <c r="H52" s="143" t="s">
        <v>45</v>
      </c>
      <c r="I52" s="143" t="s">
        <v>46</v>
      </c>
      <c r="J52" s="143" t="s">
        <v>47</v>
      </c>
      <c r="K52" s="143" t="s">
        <v>48</v>
      </c>
      <c r="L52" s="143" t="s">
        <v>58</v>
      </c>
      <c r="M52" s="143" t="s">
        <v>59</v>
      </c>
      <c r="N52" s="143" t="s">
        <v>60</v>
      </c>
      <c r="O52" s="144" t="s">
        <v>61</v>
      </c>
      <c r="P52" s="144" t="s">
        <v>62</v>
      </c>
    </row>
    <row r="53" spans="1:18" ht="21" thickBot="1" x14ac:dyDescent="0.45">
      <c r="B53" s="146" t="s">
        <v>127</v>
      </c>
      <c r="C53" s="147">
        <f>+'[1]ENERO 12'!H30</f>
        <v>422498.89</v>
      </c>
      <c r="D53" s="147">
        <f>+'[1]FEBRERO 13'!H34</f>
        <v>706295.9</v>
      </c>
      <c r="E53" s="147">
        <f>+'[1]MARZO 13'!H29</f>
        <v>1284890.8</v>
      </c>
      <c r="F53" s="147">
        <f>+'[1]ABRIL 13'!H30</f>
        <v>1289737.5</v>
      </c>
      <c r="G53" s="147">
        <f>+'[1]MAYO 13'!H28</f>
        <v>1579710.37</v>
      </c>
      <c r="H53" s="147">
        <f>+'[1]JUNIO 13'!H28</f>
        <v>1567274.9500000002</v>
      </c>
      <c r="I53" s="147">
        <f>+'[1]JULIO 13'!H30</f>
        <v>1536873.31</v>
      </c>
      <c r="J53" s="147">
        <f>+'[1]AGOSTO 13'!H33</f>
        <v>1259712.54</v>
      </c>
      <c r="K53" s="147">
        <f>+'[1]SEPTIEMBRE 13'!H34</f>
        <v>1313318.2000000002</v>
      </c>
      <c r="L53" s="147">
        <f>+'[1]SEPTIEMBRE 13'!H34</f>
        <v>1313318.2000000002</v>
      </c>
      <c r="M53" s="148">
        <f>+'[1]OCTUBRE 13'!H35</f>
        <v>1519295.26</v>
      </c>
      <c r="N53" s="148">
        <f>+'[1]NOVIEMBRE 13'!H33</f>
        <v>1387633.47</v>
      </c>
      <c r="O53" s="198">
        <f>+'[1]DICIEMBRE 13'!H34</f>
        <v>2067237.56</v>
      </c>
      <c r="P53" s="199">
        <f>SUM(C53:O53)</f>
        <v>17247796.949999999</v>
      </c>
    </row>
    <row r="54" spans="1:18" ht="21" thickBot="1" x14ac:dyDescent="0.45">
      <c r="B54" s="200" t="s">
        <v>126</v>
      </c>
      <c r="C54" s="147">
        <f>+'[1]ENERO 14'!H33</f>
        <v>682688.24</v>
      </c>
      <c r="D54" s="147">
        <f>+'[1]FEBRERO 14'!H33</f>
        <v>1163234.95</v>
      </c>
      <c r="E54" s="147">
        <f>+'[1]marzo 14'!H33</f>
        <v>1555968.9000000001</v>
      </c>
      <c r="F54" s="147">
        <f>+'[1]ABRIL 14'!H36</f>
        <v>1848510.1500000001</v>
      </c>
      <c r="G54" s="147">
        <f>+'[1]mayo 14'!I33</f>
        <v>1995190.4699999997</v>
      </c>
      <c r="H54" s="147">
        <f>+'[1]junio 14'!H33</f>
        <v>1733351.6800000002</v>
      </c>
      <c r="I54" s="147">
        <f>+'[1]julio 14'!H33</f>
        <v>1809851.1400000001</v>
      </c>
      <c r="J54" s="147">
        <f>+'[1]agosto 14'!H33</f>
        <v>2005525.76</v>
      </c>
      <c r="K54" s="147">
        <f>+'[1]septiembre 14'!H33</f>
        <v>1949844.79</v>
      </c>
      <c r="L54" s="147">
        <f>+'[1]septiembre 14'!H33</f>
        <v>1949844.79</v>
      </c>
      <c r="M54" s="148">
        <f>+'[1]Octubre 14'!H33</f>
        <v>2355817.73</v>
      </c>
      <c r="N54" s="148">
        <f>+'[1]Noviembre 14'!H33</f>
        <v>2040795.4000000001</v>
      </c>
      <c r="O54" s="198">
        <f>+'[1]Diciembre 14'!H33</f>
        <v>3304697.68</v>
      </c>
      <c r="P54" s="201">
        <f>SUM(C54:O54)</f>
        <v>24395321.68</v>
      </c>
      <c r="Q54" s="193"/>
    </row>
    <row r="55" spans="1:18" ht="21" thickBot="1" x14ac:dyDescent="0.45">
      <c r="A55" s="706"/>
      <c r="B55" s="200" t="s">
        <v>125</v>
      </c>
      <c r="C55" s="147">
        <f>+Recaudacion!C57</f>
        <v>1164885.0999999999</v>
      </c>
      <c r="D55" s="147">
        <f>+Recaudacion!D57</f>
        <v>1388270.6</v>
      </c>
      <c r="E55" s="147">
        <f>+Recaudacion!E57</f>
        <v>1905877.45</v>
      </c>
      <c r="F55" s="147">
        <f>+Recaudacion!F57</f>
        <v>2847958.28</v>
      </c>
      <c r="G55" s="147">
        <f>+Recaudacion!G57</f>
        <v>3409426.21</v>
      </c>
      <c r="H55" s="147">
        <f>+Recaudacion!H57</f>
        <v>3336641.9</v>
      </c>
      <c r="I55" s="147">
        <f>+Recaudacion!I57</f>
        <v>3887181.35</v>
      </c>
      <c r="J55" s="147">
        <f>+Recaudacion!J57</f>
        <v>2923073.96</v>
      </c>
      <c r="K55" s="147">
        <f>+Recaudacion!K57</f>
        <v>0</v>
      </c>
      <c r="L55" s="147">
        <f>+Recaudacion!L57</f>
        <v>3449788.52</v>
      </c>
      <c r="M55" s="147">
        <f>+Recaudacion!M57</f>
        <v>4951300.63</v>
      </c>
      <c r="N55" s="147">
        <f>+Recaudacion!N57</f>
        <v>3980401.35</v>
      </c>
      <c r="O55" s="147">
        <f>+Recaudacion!O57</f>
        <v>6043890.3599999994</v>
      </c>
      <c r="P55" s="201">
        <f>+O55+N55+M55+L55+J55+I55+H55+G55+F55+E55+D55+C55</f>
        <v>39288695.710000008</v>
      </c>
      <c r="Q55" s="202">
        <f>(P55-P54)/P54</f>
        <v>0.61050123566150938</v>
      </c>
      <c r="R55" s="192" t="s">
        <v>63</v>
      </c>
    </row>
    <row r="56" spans="1:18" ht="21" thickBot="1" x14ac:dyDescent="0.45">
      <c r="A56" s="707"/>
      <c r="B56" s="310" t="s">
        <v>124</v>
      </c>
      <c r="C56" s="306">
        <f>+'Enero 16'!P35</f>
        <v>3067773.9400000004</v>
      </c>
      <c r="D56" s="147">
        <f>+'Febrero 16'!P35</f>
        <v>2739497</v>
      </c>
      <c r="E56" s="147">
        <f>+Recaudacion!E59</f>
        <v>4831677.45</v>
      </c>
      <c r="F56" s="147">
        <f>+'Abril 21'!R37</f>
        <v>6600354.3000000007</v>
      </c>
      <c r="G56" s="147">
        <f>+'mayo 21'!R37</f>
        <v>6451832.75</v>
      </c>
      <c r="H56" s="147" t="s">
        <v>101</v>
      </c>
      <c r="I56" s="147"/>
      <c r="J56" s="147"/>
      <c r="K56" s="147"/>
      <c r="L56" s="147"/>
      <c r="M56" s="147"/>
      <c r="N56" s="147"/>
      <c r="O56" s="307"/>
      <c r="P56" s="208">
        <f>SUM(C56:O56)</f>
        <v>23691135.440000001</v>
      </c>
      <c r="Q56" s="308"/>
      <c r="R56" s="192"/>
    </row>
    <row r="57" spans="1:18" ht="22.5" customHeight="1" x14ac:dyDescent="0.4">
      <c r="A57" s="707"/>
      <c r="B57" s="203" t="s">
        <v>128</v>
      </c>
      <c r="C57" s="204">
        <v>2500000</v>
      </c>
      <c r="D57" s="147">
        <f>+C57*1.19</f>
        <v>2975000</v>
      </c>
      <c r="E57" s="147">
        <f>+D57*1.37</f>
        <v>4075750.0000000005</v>
      </c>
      <c r="F57" s="147">
        <f>+E57*1.49</f>
        <v>6072867.5000000009</v>
      </c>
      <c r="G57" s="147">
        <f>+F57*1.2</f>
        <v>7287441.0000000009</v>
      </c>
      <c r="H57" s="147">
        <f>+G57*0.98</f>
        <v>7141692.1800000006</v>
      </c>
      <c r="I57" s="147">
        <f>+H57*1.16</f>
        <v>8284362.9287999999</v>
      </c>
      <c r="J57" s="205">
        <f>+I57*0.75</f>
        <v>6213272.1965999994</v>
      </c>
      <c r="K57" s="205"/>
      <c r="L57" s="205">
        <f>+J57*1.18</f>
        <v>7331661.1919879988</v>
      </c>
      <c r="M57" s="206">
        <f>+L57*1.44</f>
        <v>10557592.116462719</v>
      </c>
      <c r="N57" s="206">
        <f>+M57*0.8</f>
        <v>8446073.693170175</v>
      </c>
      <c r="O57" s="207">
        <f>+N57*1.52</f>
        <v>12838032.013618667</v>
      </c>
      <c r="P57" s="208">
        <f>SUM(C57:O57)</f>
        <v>83723744.820639551</v>
      </c>
      <c r="Q57" s="209">
        <f>+(P57-P54)/P54</f>
        <v>2.4319590419370747</v>
      </c>
      <c r="R57" s="192" t="s">
        <v>63</v>
      </c>
    </row>
    <row r="58" spans="1:18" ht="25.5" thickBot="1" x14ac:dyDescent="0.55000000000000004">
      <c r="B58" s="626" t="s">
        <v>129</v>
      </c>
      <c r="C58" s="309">
        <f>+(C56-C57)/C57</f>
        <v>0.22710957600000017</v>
      </c>
      <c r="D58" s="309">
        <f>+(D55-C55)/C55</f>
        <v>0.19176612354300029</v>
      </c>
      <c r="E58" s="309">
        <f>+(E55-D55)/D55</f>
        <v>0.37284290973243966</v>
      </c>
      <c r="F58" s="309">
        <f>+(F55-E55)/E55</f>
        <v>0.49430294167130201</v>
      </c>
      <c r="G58" s="309">
        <f>+(G55-F55)/F55</f>
        <v>0.1971475263324434</v>
      </c>
      <c r="H58" s="309">
        <f>+(H55-G55)/G55</f>
        <v>-2.1347964589032726E-2</v>
      </c>
      <c r="I58" s="210">
        <f t="shared" ref="I58:O58" si="0">+(I55-H55)/H55</f>
        <v>0.16499806287273447</v>
      </c>
      <c r="J58" s="210">
        <f t="shared" si="0"/>
        <v>-0.24802223081256553</v>
      </c>
      <c r="K58" s="210">
        <f t="shared" si="0"/>
        <v>-1</v>
      </c>
      <c r="L58" s="210">
        <f>+(L55-J55)/J55</f>
        <v>0.18019200581568592</v>
      </c>
      <c r="M58" s="210">
        <f t="shared" si="0"/>
        <v>0.43524758149522741</v>
      </c>
      <c r="N58" s="210">
        <f t="shared" si="0"/>
        <v>-0.1960897454130148</v>
      </c>
      <c r="O58" s="210">
        <f t="shared" si="0"/>
        <v>0.51841229779504505</v>
      </c>
    </row>
    <row r="59" spans="1:18" ht="18.75" x14ac:dyDescent="0.3">
      <c r="B59" s="203" t="s">
        <v>130</v>
      </c>
      <c r="C59" s="147">
        <f>+C55*1.25</f>
        <v>1456106.3749999998</v>
      </c>
      <c r="D59" s="147">
        <f t="shared" ref="D59:O59" si="1">+D55*1.25</f>
        <v>1735338.25</v>
      </c>
      <c r="E59" s="147">
        <f t="shared" si="1"/>
        <v>2382346.8125</v>
      </c>
      <c r="F59" s="147">
        <f t="shared" si="1"/>
        <v>3559947.8499999996</v>
      </c>
      <c r="G59" s="147">
        <f>+F56*1.2</f>
        <v>7920425.1600000001</v>
      </c>
      <c r="H59" s="147">
        <f t="shared" si="1"/>
        <v>4170802.375</v>
      </c>
      <c r="I59" s="147">
        <f t="shared" si="1"/>
        <v>4858976.6875</v>
      </c>
      <c r="J59" s="147">
        <f t="shared" si="1"/>
        <v>3653842.45</v>
      </c>
      <c r="K59" s="147">
        <f t="shared" si="1"/>
        <v>0</v>
      </c>
      <c r="L59" s="147">
        <f t="shared" si="1"/>
        <v>4312235.6500000004</v>
      </c>
      <c r="M59" s="147">
        <f t="shared" si="1"/>
        <v>6189125.7874999996</v>
      </c>
      <c r="N59" s="147">
        <f t="shared" si="1"/>
        <v>4975501.6875</v>
      </c>
      <c r="O59" s="147">
        <f t="shared" si="1"/>
        <v>7554862.9499999993</v>
      </c>
    </row>
    <row r="60" spans="1:18" x14ac:dyDescent="0.3">
      <c r="C60" s="193"/>
      <c r="D60" s="193"/>
      <c r="E60" s="193"/>
      <c r="F60" s="193"/>
    </row>
    <row r="61" spans="1:18" x14ac:dyDescent="0.3">
      <c r="C61" s="193"/>
      <c r="F61" s="193"/>
      <c r="H61" s="192">
        <f>+H53-G53</f>
        <v>-12435.419999999925</v>
      </c>
    </row>
    <row r="62" spans="1:18" x14ac:dyDescent="0.3">
      <c r="H62" s="193">
        <f>+H61/G54</f>
        <v>-6.2326981744253857E-3</v>
      </c>
    </row>
    <row r="63" spans="1:18" x14ac:dyDescent="0.3">
      <c r="H63" s="192">
        <f>+H55-G55</f>
        <v>-72784.310000000056</v>
      </c>
    </row>
    <row r="64" spans="1:18" x14ac:dyDescent="0.3">
      <c r="H64" s="193">
        <f>+H63/G55</f>
        <v>-2.1347964589032726E-2</v>
      </c>
    </row>
  </sheetData>
  <mergeCells count="10">
    <mergeCell ref="K17:N32"/>
    <mergeCell ref="K34:N34"/>
    <mergeCell ref="A55:A57"/>
    <mergeCell ref="K12:N12"/>
    <mergeCell ref="K13:N14"/>
    <mergeCell ref="C2:K5"/>
    <mergeCell ref="B8:I8"/>
    <mergeCell ref="K8:N8"/>
    <mergeCell ref="K9:N10"/>
    <mergeCell ref="K16:N16"/>
  </mergeCells>
  <phoneticPr fontId="55" type="noConversion"/>
  <printOptions horizontalCentered="1"/>
  <pageMargins left="0.19685039370078741" right="0.19685039370078741" top="0.39370078740157483" bottom="0.39370078740157483" header="0" footer="0"/>
  <pageSetup paperSize="9" scale="45" fitToHeight="2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B1:Q161"/>
  <sheetViews>
    <sheetView topLeftCell="C108" zoomScale="66" zoomScaleNormal="66" zoomScaleSheetLayoutView="75" workbookViewId="0">
      <selection activeCell="G9" sqref="G9"/>
    </sheetView>
  </sheetViews>
  <sheetFormatPr baseColWidth="10" defaultRowHeight="15" x14ac:dyDescent="0.3"/>
  <cols>
    <col min="1" max="1" width="2.140625" style="98" customWidth="1"/>
    <col min="2" max="2" width="25.42578125" style="98" customWidth="1"/>
    <col min="3" max="4" width="21.7109375" style="98" bestFit="1" customWidth="1"/>
    <col min="5" max="5" width="20.5703125" style="98" customWidth="1"/>
    <col min="6" max="9" width="21.5703125" style="98" bestFit="1" customWidth="1"/>
    <col min="10" max="10" width="23" style="98" bestFit="1" customWidth="1"/>
    <col min="11" max="12" width="21.5703125" style="98" bestFit="1" customWidth="1"/>
    <col min="13" max="13" width="24.42578125" style="98" bestFit="1" customWidth="1"/>
    <col min="14" max="14" width="21.7109375" style="98" bestFit="1" customWidth="1"/>
    <col min="15" max="16384" width="11.42578125" style="98"/>
  </cols>
  <sheetData>
    <row r="1" spans="2:17" ht="15.75" thickBot="1" x14ac:dyDescent="0.35"/>
    <row r="2" spans="2:17" s="102" customFormat="1" ht="27" thickBot="1" x14ac:dyDescent="0.35">
      <c r="B2" s="211" t="s">
        <v>155</v>
      </c>
      <c r="C2" s="718" t="s">
        <v>123</v>
      </c>
      <c r="D2" s="719"/>
      <c r="E2" s="719"/>
      <c r="F2" s="719"/>
      <c r="G2" s="719"/>
      <c r="H2" s="719"/>
      <c r="I2" s="719"/>
      <c r="J2" s="719"/>
      <c r="K2" s="719"/>
      <c r="L2" s="212" t="s">
        <v>30</v>
      </c>
      <c r="M2" s="213" t="s">
        <v>31</v>
      </c>
      <c r="N2" s="214" t="s">
        <v>64</v>
      </c>
    </row>
    <row r="3" spans="2:17" s="102" customFormat="1" ht="39.950000000000003" customHeight="1" x14ac:dyDescent="0.3">
      <c r="B3" s="215"/>
      <c r="C3" s="216" t="s">
        <v>65</v>
      </c>
      <c r="D3" s="217"/>
      <c r="E3" s="218" t="s">
        <v>66</v>
      </c>
      <c r="F3" s="219"/>
      <c r="G3" s="219"/>
      <c r="H3" s="219"/>
      <c r="I3" s="219"/>
      <c r="J3" s="220"/>
      <c r="K3" s="720"/>
      <c r="L3" s="221">
        <v>43983</v>
      </c>
      <c r="M3" s="222">
        <f>+H52</f>
        <v>0</v>
      </c>
      <c r="N3" s="230" t="e">
        <f>+(M3-M4)/M3</f>
        <v>#DIV/0!</v>
      </c>
      <c r="O3" s="107"/>
      <c r="P3" s="108"/>
      <c r="Q3" s="108"/>
    </row>
    <row r="4" spans="2:17" s="102" customFormat="1" ht="39.950000000000003" customHeight="1" thickBot="1" x14ac:dyDescent="0.35">
      <c r="B4" s="215"/>
      <c r="C4" s="223"/>
      <c r="D4" s="224"/>
      <c r="E4" s="225"/>
      <c r="F4" s="225"/>
      <c r="G4" s="225"/>
      <c r="H4" s="226"/>
      <c r="I4" s="226"/>
      <c r="J4" s="227"/>
      <c r="K4" s="721"/>
      <c r="L4" s="228">
        <v>43952</v>
      </c>
      <c r="M4" s="229">
        <f>+G52</f>
        <v>258073.31</v>
      </c>
      <c r="N4" s="234">
        <f>+(M4-M5)/M5</f>
        <v>1.6597860511821189E-2</v>
      </c>
      <c r="O4" s="98"/>
    </row>
    <row r="5" spans="2:17" s="102" customFormat="1" ht="39.950000000000003" customHeight="1" thickBot="1" x14ac:dyDescent="0.35">
      <c r="B5" s="231"/>
      <c r="C5" s="718"/>
      <c r="D5" s="719"/>
      <c r="E5" s="719"/>
      <c r="F5" s="719"/>
      <c r="G5" s="719"/>
      <c r="H5" s="719"/>
      <c r="I5" s="719"/>
      <c r="J5" s="719"/>
      <c r="K5" s="722"/>
      <c r="L5" s="232">
        <v>43922</v>
      </c>
      <c r="M5" s="233">
        <f>+F52</f>
        <v>253859.7807692308</v>
      </c>
      <c r="N5" s="230">
        <v>0.26796695595568265</v>
      </c>
      <c r="O5" s="98"/>
    </row>
    <row r="6" spans="2:17" ht="12.75" customHeight="1" x14ac:dyDescent="0.3">
      <c r="B6" s="116"/>
      <c r="C6" s="117"/>
      <c r="D6" s="117"/>
      <c r="E6" s="117"/>
      <c r="F6" s="118"/>
      <c r="G6" s="118"/>
      <c r="H6" s="117"/>
      <c r="I6" s="117"/>
      <c r="J6" s="117"/>
      <c r="K6" s="117"/>
      <c r="L6" s="117"/>
      <c r="M6" s="117"/>
      <c r="N6" s="119"/>
    </row>
    <row r="7" spans="2:17" ht="12.75" customHeight="1" x14ac:dyDescent="0.3">
      <c r="B7" s="116"/>
      <c r="C7" s="117"/>
      <c r="D7" s="117"/>
      <c r="E7" s="117"/>
      <c r="F7" s="118"/>
      <c r="G7" s="118"/>
      <c r="H7" s="117"/>
      <c r="I7" s="117"/>
      <c r="J7" s="117"/>
      <c r="K7" s="117"/>
      <c r="L7" s="117"/>
      <c r="M7" s="117"/>
      <c r="N7" s="119"/>
    </row>
    <row r="8" spans="2:17" x14ac:dyDescent="0.3">
      <c r="B8" s="704"/>
      <c r="C8" s="679"/>
      <c r="D8" s="679"/>
      <c r="E8" s="679"/>
      <c r="F8" s="679"/>
      <c r="G8" s="679"/>
      <c r="H8" s="679"/>
      <c r="I8" s="705"/>
      <c r="J8" s="235"/>
      <c r="K8" s="678" t="s">
        <v>33</v>
      </c>
      <c r="L8" s="679"/>
      <c r="M8" s="679"/>
      <c r="N8" s="680"/>
    </row>
    <row r="9" spans="2:17" ht="12.75" customHeight="1" x14ac:dyDescent="0.3">
      <c r="B9" s="116"/>
      <c r="C9" s="117"/>
      <c r="D9" s="117"/>
      <c r="E9" s="117"/>
      <c r="F9" s="117"/>
      <c r="G9" s="117"/>
      <c r="H9" s="117"/>
      <c r="I9" s="117"/>
      <c r="J9" s="117"/>
      <c r="K9" s="717"/>
      <c r="L9" s="717"/>
      <c r="M9" s="717"/>
      <c r="N9" s="717"/>
    </row>
    <row r="10" spans="2:17" ht="12.75" customHeight="1" x14ac:dyDescent="0.3">
      <c r="B10" s="116"/>
      <c r="C10" s="117"/>
      <c r="D10" s="117"/>
      <c r="E10" s="117"/>
      <c r="F10" s="117"/>
      <c r="G10" s="117"/>
      <c r="H10" s="117"/>
      <c r="I10" s="117"/>
      <c r="J10" s="117"/>
      <c r="K10" s="717"/>
      <c r="L10" s="717"/>
      <c r="M10" s="717"/>
      <c r="N10" s="717"/>
    </row>
    <row r="11" spans="2:17" x14ac:dyDescent="0.3">
      <c r="B11" s="116"/>
      <c r="C11" s="117"/>
      <c r="D11" s="117"/>
      <c r="E11" s="117"/>
      <c r="F11" s="117"/>
      <c r="G11" s="117"/>
      <c r="H11" s="117"/>
      <c r="I11" s="117"/>
      <c r="J11" s="117"/>
      <c r="K11" s="236"/>
      <c r="L11" s="236"/>
      <c r="M11" s="236"/>
      <c r="N11" s="236"/>
    </row>
    <row r="12" spans="2:17" x14ac:dyDescent="0.3">
      <c r="B12" s="116"/>
      <c r="C12" s="117"/>
      <c r="D12" s="117"/>
      <c r="E12" s="117"/>
      <c r="F12" s="117"/>
      <c r="G12" s="117"/>
      <c r="H12" s="117"/>
      <c r="I12" s="117"/>
      <c r="J12" s="117"/>
      <c r="K12" s="715"/>
      <c r="L12" s="715"/>
      <c r="M12" s="715"/>
      <c r="N12" s="715"/>
    </row>
    <row r="13" spans="2:17" ht="18" customHeight="1" x14ac:dyDescent="0.3">
      <c r="B13" s="116"/>
      <c r="C13" s="117"/>
      <c r="D13" s="117"/>
      <c r="E13" s="117"/>
      <c r="F13" s="117"/>
      <c r="G13" s="117"/>
      <c r="H13" s="117"/>
      <c r="I13" s="117"/>
      <c r="J13" s="117"/>
      <c r="K13" s="717"/>
      <c r="L13" s="717"/>
      <c r="M13" s="717"/>
      <c r="N13" s="717"/>
    </row>
    <row r="14" spans="2:17" ht="15" customHeight="1" x14ac:dyDescent="0.3">
      <c r="B14" s="116"/>
      <c r="C14" s="117"/>
      <c r="D14" s="117"/>
      <c r="E14" s="117"/>
      <c r="F14" s="117"/>
      <c r="G14" s="117"/>
      <c r="H14" s="117"/>
      <c r="I14" s="117"/>
      <c r="J14" s="117"/>
      <c r="K14" s="717"/>
      <c r="L14" s="717"/>
      <c r="M14" s="717"/>
      <c r="N14" s="717"/>
    </row>
    <row r="15" spans="2:17" ht="18" customHeight="1" x14ac:dyDescent="0.3">
      <c r="B15" s="116"/>
      <c r="C15" s="117"/>
      <c r="D15" s="117"/>
      <c r="E15" s="117"/>
      <c r="F15" s="117"/>
      <c r="G15" s="117"/>
      <c r="H15" s="117"/>
      <c r="I15" s="117"/>
      <c r="J15" s="117"/>
      <c r="K15" s="236"/>
      <c r="L15" s="236"/>
      <c r="M15" s="236"/>
      <c r="N15" s="236"/>
    </row>
    <row r="16" spans="2:17" ht="14.25" customHeight="1" x14ac:dyDescent="0.3">
      <c r="B16" s="116"/>
      <c r="C16" s="117"/>
      <c r="D16" s="117"/>
      <c r="E16" s="117"/>
      <c r="F16" s="117"/>
      <c r="G16" s="117"/>
      <c r="H16" s="117"/>
      <c r="I16" s="117"/>
      <c r="J16" s="117"/>
      <c r="K16" s="715"/>
      <c r="L16" s="715"/>
      <c r="M16" s="715"/>
      <c r="N16" s="715"/>
    </row>
    <row r="17" spans="2:14" ht="15" customHeight="1" x14ac:dyDescent="0.3">
      <c r="B17" s="116"/>
      <c r="C17" s="117"/>
      <c r="D17" s="117"/>
      <c r="E17" s="117"/>
      <c r="F17" s="117"/>
      <c r="G17" s="117"/>
      <c r="H17" s="117"/>
      <c r="I17" s="117"/>
      <c r="J17" s="117"/>
      <c r="K17" s="716"/>
      <c r="L17" s="716"/>
      <c r="M17" s="716"/>
      <c r="N17" s="716"/>
    </row>
    <row r="18" spans="2:14" x14ac:dyDescent="0.3">
      <c r="B18" s="116"/>
      <c r="C18" s="117"/>
      <c r="D18" s="117"/>
      <c r="E18" s="117"/>
      <c r="F18" s="117"/>
      <c r="G18" s="117"/>
      <c r="H18" s="117"/>
      <c r="I18" s="117"/>
      <c r="J18" s="117"/>
      <c r="K18" s="716"/>
      <c r="L18" s="716"/>
      <c r="M18" s="716"/>
      <c r="N18" s="716"/>
    </row>
    <row r="19" spans="2:14" x14ac:dyDescent="0.3">
      <c r="B19" s="116"/>
      <c r="C19" s="117"/>
      <c r="D19" s="117"/>
      <c r="E19" s="117"/>
      <c r="F19" s="117"/>
      <c r="G19" s="117"/>
      <c r="H19" s="117"/>
      <c r="I19" s="117"/>
      <c r="J19" s="117"/>
      <c r="K19" s="716"/>
      <c r="L19" s="716"/>
      <c r="M19" s="716"/>
      <c r="N19" s="716"/>
    </row>
    <row r="20" spans="2:14" x14ac:dyDescent="0.3">
      <c r="B20" s="116"/>
      <c r="C20" s="117"/>
      <c r="D20" s="117"/>
      <c r="E20" s="117"/>
      <c r="F20" s="117"/>
      <c r="G20" s="117"/>
      <c r="H20" s="117"/>
      <c r="I20" s="117"/>
      <c r="J20" s="117"/>
      <c r="K20" s="716"/>
      <c r="L20" s="716"/>
      <c r="M20" s="716"/>
      <c r="N20" s="716"/>
    </row>
    <row r="21" spans="2:14" x14ac:dyDescent="0.3">
      <c r="B21" s="116"/>
      <c r="C21" s="117"/>
      <c r="D21" s="117"/>
      <c r="E21" s="117"/>
      <c r="F21" s="117"/>
      <c r="G21" s="117"/>
      <c r="H21" s="117"/>
      <c r="I21" s="117"/>
      <c r="J21" s="117"/>
      <c r="K21" s="716"/>
      <c r="L21" s="716"/>
      <c r="M21" s="716"/>
      <c r="N21" s="716"/>
    </row>
    <row r="22" spans="2:14" x14ac:dyDescent="0.3">
      <c r="B22" s="116"/>
      <c r="C22" s="117"/>
      <c r="D22" s="117"/>
      <c r="E22" s="117"/>
      <c r="F22" s="117"/>
      <c r="G22" s="117"/>
      <c r="H22" s="117"/>
      <c r="I22" s="117"/>
      <c r="J22" s="117"/>
      <c r="K22" s="716"/>
      <c r="L22" s="716"/>
      <c r="M22" s="716"/>
      <c r="N22" s="716"/>
    </row>
    <row r="23" spans="2:14" x14ac:dyDescent="0.3">
      <c r="B23" s="116"/>
      <c r="C23" s="117"/>
      <c r="D23" s="117"/>
      <c r="E23" s="117"/>
      <c r="F23" s="117"/>
      <c r="G23" s="117"/>
      <c r="H23" s="117"/>
      <c r="I23" s="117"/>
      <c r="J23" s="117"/>
      <c r="K23" s="716"/>
      <c r="L23" s="716"/>
      <c r="M23" s="716"/>
      <c r="N23" s="716"/>
    </row>
    <row r="24" spans="2:14" x14ac:dyDescent="0.3">
      <c r="B24" s="116"/>
      <c r="C24" s="117"/>
      <c r="D24" s="117"/>
      <c r="E24" s="117"/>
      <c r="F24" s="117"/>
      <c r="G24" s="117"/>
      <c r="H24" s="117"/>
      <c r="I24" s="117"/>
      <c r="J24" s="117"/>
      <c r="K24" s="716"/>
      <c r="L24" s="716"/>
      <c r="M24" s="716"/>
      <c r="N24" s="716"/>
    </row>
    <row r="25" spans="2:14" x14ac:dyDescent="0.3">
      <c r="B25" s="116"/>
      <c r="C25" s="117"/>
      <c r="D25" s="117"/>
      <c r="E25" s="117"/>
      <c r="F25" s="117"/>
      <c r="G25" s="117"/>
      <c r="H25" s="117"/>
      <c r="I25" s="117"/>
      <c r="J25" s="117"/>
      <c r="K25" s="716"/>
      <c r="L25" s="716"/>
      <c r="M25" s="716"/>
      <c r="N25" s="716"/>
    </row>
    <row r="26" spans="2:14" x14ac:dyDescent="0.3">
      <c r="B26" s="116"/>
      <c r="C26" s="117"/>
      <c r="D26" s="117"/>
      <c r="E26" s="117"/>
      <c r="F26" s="117"/>
      <c r="G26" s="117"/>
      <c r="H26" s="117"/>
      <c r="I26" s="117"/>
      <c r="J26" s="117"/>
      <c r="K26" s="716"/>
      <c r="L26" s="716"/>
      <c r="M26" s="716"/>
      <c r="N26" s="716"/>
    </row>
    <row r="27" spans="2:14" x14ac:dyDescent="0.3">
      <c r="B27" s="116"/>
      <c r="C27" s="117"/>
      <c r="D27" s="117"/>
      <c r="E27" s="117"/>
      <c r="F27" s="117"/>
      <c r="G27" s="117"/>
      <c r="H27" s="117"/>
      <c r="I27" s="117"/>
      <c r="J27" s="117"/>
      <c r="K27" s="716"/>
      <c r="L27" s="716"/>
      <c r="M27" s="716"/>
      <c r="N27" s="716"/>
    </row>
    <row r="28" spans="2:14" x14ac:dyDescent="0.3">
      <c r="B28" s="116"/>
      <c r="C28" s="117"/>
      <c r="D28" s="117"/>
      <c r="E28" s="117"/>
      <c r="F28" s="117"/>
      <c r="G28" s="117"/>
      <c r="H28" s="117"/>
      <c r="I28" s="117"/>
      <c r="J28" s="117"/>
      <c r="K28" s="716"/>
      <c r="L28" s="716"/>
      <c r="M28" s="716"/>
      <c r="N28" s="716"/>
    </row>
    <row r="29" spans="2:14" x14ac:dyDescent="0.3">
      <c r="B29" s="116"/>
      <c r="C29" s="117"/>
      <c r="D29" s="117"/>
      <c r="E29" s="117"/>
      <c r="F29" s="117"/>
      <c r="G29" s="117"/>
      <c r="H29" s="117"/>
      <c r="I29" s="117"/>
      <c r="J29" s="117"/>
      <c r="K29" s="716"/>
      <c r="L29" s="716"/>
      <c r="M29" s="716"/>
      <c r="N29" s="716"/>
    </row>
    <row r="30" spans="2:14" x14ac:dyDescent="0.3">
      <c r="B30" s="116"/>
      <c r="C30" s="117"/>
      <c r="D30" s="117"/>
      <c r="E30" s="117"/>
      <c r="F30" s="117"/>
      <c r="G30" s="117"/>
      <c r="H30" s="117"/>
      <c r="I30" s="117"/>
      <c r="J30" s="117"/>
      <c r="K30" s="716"/>
      <c r="L30" s="716"/>
      <c r="M30" s="716"/>
      <c r="N30" s="716"/>
    </row>
    <row r="31" spans="2:14" x14ac:dyDescent="0.3">
      <c r="B31" s="116"/>
      <c r="C31" s="117"/>
      <c r="D31" s="117"/>
      <c r="E31" s="117"/>
      <c r="F31" s="117"/>
      <c r="G31" s="117"/>
      <c r="H31" s="117"/>
      <c r="I31" s="117"/>
      <c r="J31" s="117"/>
      <c r="K31" s="716"/>
      <c r="L31" s="716"/>
      <c r="M31" s="716"/>
      <c r="N31" s="716"/>
    </row>
    <row r="32" spans="2:14" x14ac:dyDescent="0.3">
      <c r="B32" s="116"/>
      <c r="C32" s="117"/>
      <c r="D32" s="117"/>
      <c r="E32" s="117"/>
      <c r="F32" s="117"/>
      <c r="G32" s="117"/>
      <c r="H32" s="117"/>
      <c r="I32" s="117"/>
      <c r="J32" s="117"/>
      <c r="K32" s="716"/>
      <c r="L32" s="716"/>
      <c r="M32" s="716"/>
      <c r="N32" s="716"/>
    </row>
    <row r="33" spans="2:14" x14ac:dyDescent="0.3">
      <c r="B33" s="116"/>
      <c r="C33" s="117"/>
      <c r="D33" s="117"/>
      <c r="E33" s="117"/>
      <c r="F33" s="117"/>
      <c r="G33" s="117"/>
      <c r="H33" s="117"/>
      <c r="I33" s="117"/>
      <c r="J33" s="117"/>
      <c r="K33" s="237"/>
      <c r="L33" s="237"/>
      <c r="M33" s="237"/>
      <c r="N33" s="237"/>
    </row>
    <row r="34" spans="2:14" x14ac:dyDescent="0.3">
      <c r="B34" s="116"/>
      <c r="C34" s="117"/>
      <c r="D34" s="117"/>
      <c r="E34" s="117"/>
      <c r="F34" s="117"/>
      <c r="G34" s="117"/>
      <c r="H34" s="117"/>
      <c r="I34" s="117"/>
      <c r="J34" s="117"/>
      <c r="K34" s="715"/>
      <c r="L34" s="715"/>
      <c r="M34" s="715"/>
      <c r="N34" s="715"/>
    </row>
    <row r="35" spans="2:14" x14ac:dyDescent="0.3">
      <c r="B35" s="116"/>
      <c r="C35" s="117"/>
      <c r="D35" s="117"/>
      <c r="E35" s="117"/>
      <c r="F35" s="117"/>
      <c r="G35" s="117"/>
      <c r="H35" s="117"/>
      <c r="I35" s="117"/>
      <c r="J35" s="117"/>
      <c r="K35" s="238"/>
      <c r="L35" s="238"/>
      <c r="M35" s="238"/>
      <c r="N35" s="238"/>
    </row>
    <row r="36" spans="2:14" x14ac:dyDescent="0.3">
      <c r="B36" s="116"/>
      <c r="C36" s="117"/>
      <c r="D36" s="117"/>
      <c r="E36" s="117"/>
      <c r="F36" s="117"/>
      <c r="G36" s="117"/>
      <c r="H36" s="117"/>
      <c r="I36" s="117"/>
      <c r="J36" s="117"/>
      <c r="K36" s="238"/>
      <c r="L36" s="238"/>
      <c r="M36" s="238"/>
      <c r="N36" s="238"/>
    </row>
    <row r="37" spans="2:14" x14ac:dyDescent="0.3">
      <c r="B37" s="116"/>
      <c r="C37" s="117"/>
      <c r="D37" s="117"/>
      <c r="E37" s="117"/>
      <c r="F37" s="117"/>
      <c r="G37" s="117"/>
      <c r="H37" s="117"/>
      <c r="I37" s="117"/>
      <c r="J37" s="117"/>
      <c r="K37" s="238"/>
      <c r="L37" s="238"/>
      <c r="M37" s="238"/>
      <c r="N37" s="238"/>
    </row>
    <row r="38" spans="2:14" x14ac:dyDescent="0.3">
      <c r="B38" s="116"/>
      <c r="C38" s="117"/>
      <c r="D38" s="117"/>
      <c r="E38" s="117"/>
      <c r="F38" s="117"/>
      <c r="G38" s="117"/>
      <c r="H38" s="117"/>
      <c r="I38" s="117"/>
      <c r="J38" s="117"/>
      <c r="K38" s="238"/>
      <c r="L38" s="238"/>
      <c r="M38" s="238"/>
      <c r="N38" s="238"/>
    </row>
    <row r="39" spans="2:14" x14ac:dyDescent="0.3">
      <c r="B39" s="116"/>
      <c r="C39" s="117"/>
      <c r="D39" s="117"/>
      <c r="E39" s="117"/>
      <c r="F39" s="117"/>
      <c r="G39" s="117"/>
      <c r="H39" s="117"/>
      <c r="I39" s="117"/>
      <c r="J39" s="117"/>
      <c r="K39" s="238"/>
      <c r="L39" s="238"/>
      <c r="M39" s="238"/>
      <c r="N39" s="238"/>
    </row>
    <row r="40" spans="2:14" x14ac:dyDescent="0.3">
      <c r="B40" s="116"/>
      <c r="C40" s="117"/>
      <c r="D40" s="117"/>
      <c r="E40" s="117"/>
      <c r="F40" s="117"/>
      <c r="G40" s="117"/>
      <c r="H40" s="117"/>
      <c r="I40" s="117"/>
      <c r="J40" s="117"/>
      <c r="K40" s="238"/>
      <c r="L40" s="238"/>
      <c r="M40" s="238"/>
      <c r="N40" s="238"/>
    </row>
    <row r="41" spans="2:14" x14ac:dyDescent="0.3">
      <c r="B41" s="116"/>
      <c r="C41" s="117"/>
      <c r="D41" s="117"/>
      <c r="E41" s="117"/>
      <c r="F41" s="117"/>
      <c r="G41" s="117"/>
      <c r="H41" s="117"/>
      <c r="I41" s="117"/>
      <c r="J41" s="117"/>
      <c r="K41" s="238"/>
      <c r="L41" s="238"/>
      <c r="M41" s="238"/>
      <c r="N41" s="238"/>
    </row>
    <row r="42" spans="2:14" x14ac:dyDescent="0.3">
      <c r="B42" s="116"/>
      <c r="C42" s="117"/>
      <c r="D42" s="117"/>
      <c r="E42" s="117"/>
      <c r="F42" s="117"/>
      <c r="G42" s="117"/>
      <c r="H42" s="117"/>
      <c r="I42" s="117"/>
      <c r="J42" s="117"/>
      <c r="K42" s="238"/>
      <c r="L42" s="238"/>
      <c r="M42" s="238"/>
      <c r="N42" s="238"/>
    </row>
    <row r="43" spans="2:14" x14ac:dyDescent="0.3">
      <c r="B43" s="116"/>
      <c r="C43" s="117"/>
      <c r="D43" s="117"/>
      <c r="E43" s="117"/>
      <c r="F43" s="117"/>
      <c r="G43" s="117"/>
      <c r="H43" s="117"/>
      <c r="I43" s="117"/>
      <c r="J43" s="117"/>
      <c r="K43" s="238"/>
      <c r="L43" s="238"/>
      <c r="M43" s="238"/>
      <c r="N43" s="238"/>
    </row>
    <row r="44" spans="2:14" x14ac:dyDescent="0.3">
      <c r="B44" s="116"/>
      <c r="C44" s="117"/>
      <c r="D44" s="117"/>
      <c r="E44" s="117"/>
      <c r="F44" s="117"/>
      <c r="G44" s="117"/>
      <c r="H44" s="117"/>
      <c r="I44" s="117"/>
      <c r="J44" s="117"/>
      <c r="K44" s="137"/>
      <c r="L44" s="137"/>
      <c r="M44" s="137"/>
      <c r="N44" s="119"/>
    </row>
    <row r="45" spans="2:14" x14ac:dyDescent="0.3">
      <c r="B45" s="116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9"/>
    </row>
    <row r="46" spans="2:14" ht="13.5" customHeight="1" x14ac:dyDescent="0.3">
      <c r="B46" s="239"/>
      <c r="C46" s="240"/>
      <c r="D46" s="240"/>
      <c r="E46" s="240"/>
      <c r="F46" s="240"/>
      <c r="G46" s="241"/>
      <c r="H46" s="241"/>
      <c r="I46" s="241"/>
      <c r="J46" s="241"/>
      <c r="K46" s="241"/>
      <c r="L46" s="117"/>
      <c r="M46" s="242"/>
      <c r="N46" s="242"/>
    </row>
    <row r="47" spans="2:14" x14ac:dyDescent="0.3">
      <c r="B47" s="243" t="s">
        <v>38</v>
      </c>
      <c r="C47" s="117"/>
      <c r="D47" s="117"/>
      <c r="E47" s="117"/>
      <c r="F47" s="117"/>
      <c r="G47" s="117"/>
      <c r="H47" s="117"/>
      <c r="I47" s="139"/>
      <c r="J47" s="140"/>
      <c r="K47" s="141"/>
      <c r="L47" s="117"/>
      <c r="M47" s="117"/>
      <c r="N47" s="117"/>
    </row>
    <row r="48" spans="2:14" s="450" customFormat="1" ht="9" customHeight="1" thickBot="1" x14ac:dyDescent="0.35">
      <c r="B48" s="445"/>
      <c r="C48" s="446"/>
      <c r="D48" s="446"/>
      <c r="E48" s="446"/>
      <c r="F48" s="446"/>
      <c r="G48" s="446"/>
      <c r="H48" s="446"/>
      <c r="I48" s="447"/>
      <c r="J48" s="448"/>
      <c r="K48" s="449"/>
      <c r="L48" s="446"/>
      <c r="M48" s="446"/>
      <c r="N48" s="446"/>
    </row>
    <row r="49" spans="2:15" ht="18.75" customHeight="1" x14ac:dyDescent="0.3">
      <c r="B49" s="244" t="s">
        <v>151</v>
      </c>
      <c r="C49" s="245" t="s">
        <v>67</v>
      </c>
      <c r="D49" s="245" t="s">
        <v>69</v>
      </c>
      <c r="E49" s="245" t="s">
        <v>70</v>
      </c>
      <c r="F49" s="245" t="s">
        <v>71</v>
      </c>
      <c r="G49" s="245" t="s">
        <v>72</v>
      </c>
      <c r="H49" s="245" t="s">
        <v>73</v>
      </c>
      <c r="I49" s="245" t="s">
        <v>74</v>
      </c>
      <c r="J49" s="245" t="s">
        <v>75</v>
      </c>
      <c r="K49" s="245" t="s">
        <v>76</v>
      </c>
      <c r="L49" s="245" t="s">
        <v>77</v>
      </c>
      <c r="M49" s="245" t="s">
        <v>78</v>
      </c>
      <c r="N49" s="246" t="s">
        <v>68</v>
      </c>
    </row>
    <row r="50" spans="2:15" ht="27" customHeight="1" x14ac:dyDescent="0.3">
      <c r="B50" s="247" t="s">
        <v>79</v>
      </c>
      <c r="C50" s="248">
        <f>+C76</f>
        <v>3067773.94</v>
      </c>
      <c r="D50" s="248">
        <f>+'Febrero 16'!P35</f>
        <v>2739497</v>
      </c>
      <c r="E50" s="248">
        <f>+'Marzo 16'!R37</f>
        <v>4831677.45</v>
      </c>
      <c r="F50" s="248">
        <f>+'Abril 21'!R37</f>
        <v>6600354.3000000007</v>
      </c>
      <c r="G50" s="248">
        <f>+Recaudacion!G59</f>
        <v>6451832.75</v>
      </c>
      <c r="H50" s="248"/>
      <c r="I50" s="248"/>
      <c r="J50" s="248"/>
      <c r="K50" s="248"/>
      <c r="L50" s="248"/>
      <c r="M50" s="248"/>
      <c r="N50" s="248"/>
    </row>
    <row r="51" spans="2:15" ht="25.5" customHeight="1" x14ac:dyDescent="0.3">
      <c r="B51" s="247" t="s">
        <v>80</v>
      </c>
      <c r="C51" s="249">
        <v>25</v>
      </c>
      <c r="D51" s="249">
        <v>24</v>
      </c>
      <c r="E51" s="249">
        <v>26</v>
      </c>
      <c r="F51" s="249">
        <v>26</v>
      </c>
      <c r="G51" s="250">
        <v>25</v>
      </c>
      <c r="H51" s="251"/>
      <c r="I51" s="251"/>
      <c r="J51" s="251"/>
      <c r="K51" s="251"/>
      <c r="L51" s="251"/>
      <c r="M51" s="251"/>
      <c r="N51" s="251"/>
    </row>
    <row r="52" spans="2:15" ht="25.5" customHeight="1" x14ac:dyDescent="0.3">
      <c r="B52" s="247" t="s">
        <v>81</v>
      </c>
      <c r="C52" s="248">
        <f t="shared" ref="C52:N52" si="0">+C50/C51</f>
        <v>122710.95759999999</v>
      </c>
      <c r="D52" s="248">
        <f t="shared" si="0"/>
        <v>114145.70833333333</v>
      </c>
      <c r="E52" s="248">
        <f t="shared" si="0"/>
        <v>185833.74807692308</v>
      </c>
      <c r="F52" s="248">
        <f t="shared" si="0"/>
        <v>253859.7807692308</v>
      </c>
      <c r="G52" s="248">
        <f t="shared" si="0"/>
        <v>258073.31</v>
      </c>
      <c r="H52" s="248"/>
      <c r="I52" s="248" t="e">
        <f t="shared" si="0"/>
        <v>#DIV/0!</v>
      </c>
      <c r="J52" s="248" t="e">
        <f t="shared" si="0"/>
        <v>#DIV/0!</v>
      </c>
      <c r="K52" s="248" t="e">
        <f t="shared" si="0"/>
        <v>#DIV/0!</v>
      </c>
      <c r="L52" s="248" t="e">
        <f t="shared" si="0"/>
        <v>#DIV/0!</v>
      </c>
      <c r="M52" s="248" t="e">
        <f t="shared" si="0"/>
        <v>#DIV/0!</v>
      </c>
      <c r="N52" s="248" t="e">
        <f t="shared" si="0"/>
        <v>#DIV/0!</v>
      </c>
    </row>
    <row r="53" spans="2:15" x14ac:dyDescent="0.3">
      <c r="B53" s="243"/>
      <c r="C53" s="117"/>
      <c r="D53" s="117"/>
      <c r="E53" s="117"/>
      <c r="F53" s="117"/>
      <c r="G53" s="117"/>
      <c r="H53" s="117"/>
      <c r="I53" s="139"/>
      <c r="J53" s="140"/>
      <c r="K53" s="141"/>
      <c r="L53" s="117"/>
      <c r="M53" s="117"/>
      <c r="N53" s="117"/>
    </row>
    <row r="54" spans="2:15" ht="15.75" thickBot="1" x14ac:dyDescent="0.35">
      <c r="B54" s="243"/>
      <c r="C54" s="117"/>
      <c r="D54" s="117"/>
      <c r="E54" s="117"/>
      <c r="F54" s="117"/>
      <c r="G54" s="117"/>
      <c r="H54" s="117"/>
      <c r="I54" s="139"/>
      <c r="J54" s="140"/>
      <c r="K54" s="141"/>
      <c r="L54" s="117"/>
      <c r="M54" s="117"/>
      <c r="N54" s="117"/>
    </row>
    <row r="55" spans="2:15" ht="19.5" customHeight="1" thickBot="1" x14ac:dyDescent="0.35">
      <c r="B55" s="708" t="s">
        <v>152</v>
      </c>
      <c r="C55" s="709"/>
      <c r="D55" s="709"/>
      <c r="E55" s="709"/>
      <c r="F55" s="709"/>
      <c r="G55" s="709"/>
      <c r="H55" s="709"/>
      <c r="I55" s="709"/>
      <c r="J55" s="709"/>
      <c r="K55" s="709"/>
      <c r="L55" s="709"/>
      <c r="M55" s="709"/>
      <c r="N55" s="710"/>
    </row>
    <row r="56" spans="2:15" ht="15.75" thickBot="1" x14ac:dyDescent="0.35">
      <c r="B56" s="252"/>
      <c r="C56" s="253" t="s">
        <v>82</v>
      </c>
      <c r="D56" s="253" t="s">
        <v>83</v>
      </c>
      <c r="E56" s="253" t="s">
        <v>84</v>
      </c>
      <c r="F56" s="253" t="s">
        <v>85</v>
      </c>
      <c r="G56" s="253" t="s">
        <v>86</v>
      </c>
      <c r="H56" s="253" t="s">
        <v>87</v>
      </c>
      <c r="I56" s="253" t="s">
        <v>88</v>
      </c>
      <c r="J56" s="253" t="s">
        <v>89</v>
      </c>
      <c r="K56" s="253" t="s">
        <v>90</v>
      </c>
      <c r="L56" s="253" t="s">
        <v>91</v>
      </c>
      <c r="M56" s="253" t="s">
        <v>92</v>
      </c>
      <c r="N56" s="254" t="s">
        <v>93</v>
      </c>
    </row>
    <row r="57" spans="2:15" s="257" customFormat="1" ht="19.5" thickBot="1" x14ac:dyDescent="0.35">
      <c r="B57" s="255" t="s">
        <v>143</v>
      </c>
      <c r="C57" s="629">
        <f t="shared" ref="C57:C64" si="1">+C68/$C$76</f>
        <v>0.13409798376473595</v>
      </c>
      <c r="D57" s="629">
        <f t="shared" ref="D57:D64" si="2">+D68/$D$76</f>
        <v>0.1708309956170786</v>
      </c>
      <c r="E57" s="629">
        <f>+E68/$E$76</f>
        <v>0.15665619400980502</v>
      </c>
      <c r="F57" s="629">
        <f>+F68/$F$76</f>
        <v>0.16593518320675604</v>
      </c>
      <c r="G57" s="256">
        <f>+G68/$G$76</f>
        <v>0.16476555440777663</v>
      </c>
      <c r="H57" s="256"/>
      <c r="I57" s="256"/>
      <c r="J57" s="256"/>
      <c r="K57" s="256"/>
      <c r="L57" s="256"/>
      <c r="M57" s="256"/>
      <c r="N57" s="256"/>
      <c r="O57" s="451">
        <f>AVERAGE(C57:N57)</f>
        <v>0.15845718220123045</v>
      </c>
    </row>
    <row r="58" spans="2:15" s="257" customFormat="1" ht="19.5" thickBot="1" x14ac:dyDescent="0.35">
      <c r="B58" s="255" t="s">
        <v>144</v>
      </c>
      <c r="C58" s="629">
        <f t="shared" si="1"/>
        <v>0.24158787919034216</v>
      </c>
      <c r="D58" s="629">
        <f t="shared" si="2"/>
        <v>0.23369874104625776</v>
      </c>
      <c r="E58" s="629">
        <f t="shared" ref="E58:E63" si="3">+E69/$E$76</f>
        <v>0.21356334537604532</v>
      </c>
      <c r="F58" s="629">
        <f t="shared" ref="F58:F64" si="4">+F69/$F$76</f>
        <v>0.21374832863138876</v>
      </c>
      <c r="G58" s="256">
        <f t="shared" ref="G58:G64" si="5">+G69/$G$76</f>
        <v>0.21623287584446452</v>
      </c>
      <c r="H58" s="256"/>
      <c r="I58" s="256"/>
      <c r="J58" s="256"/>
      <c r="K58" s="256"/>
      <c r="L58" s="256"/>
      <c r="M58" s="256"/>
      <c r="N58" s="256"/>
      <c r="O58" s="451">
        <f t="shared" ref="O58:O64" si="6">AVERAGE(C58:N58)</f>
        <v>0.22376623401769971</v>
      </c>
    </row>
    <row r="59" spans="2:15" ht="19.5" thickBot="1" x14ac:dyDescent="0.35">
      <c r="B59" s="255" t="s">
        <v>145</v>
      </c>
      <c r="C59" s="629">
        <f t="shared" si="1"/>
        <v>0.11409856359885499</v>
      </c>
      <c r="D59" s="629">
        <f t="shared" si="2"/>
        <v>9.9947910145548616E-2</v>
      </c>
      <c r="E59" s="629">
        <f t="shared" si="3"/>
        <v>7.9266466763007942E-2</v>
      </c>
      <c r="F59" s="629">
        <f t="shared" si="4"/>
        <v>7.3794493122891908E-2</v>
      </c>
      <c r="G59" s="256">
        <f t="shared" si="5"/>
        <v>7.772706135322556E-2</v>
      </c>
      <c r="H59" s="256"/>
      <c r="I59" s="256"/>
      <c r="J59" s="256"/>
      <c r="K59" s="256"/>
      <c r="L59" s="256"/>
      <c r="M59" s="256"/>
      <c r="N59" s="256"/>
      <c r="O59" s="451">
        <f t="shared" si="6"/>
        <v>8.896689899670579E-2</v>
      </c>
    </row>
    <row r="60" spans="2:15" ht="19.5" thickBot="1" x14ac:dyDescent="0.35">
      <c r="B60" s="255" t="s">
        <v>146</v>
      </c>
      <c r="C60" s="629">
        <f t="shared" si="1"/>
        <v>0.13958003698277716</v>
      </c>
      <c r="D60" s="629">
        <f t="shared" si="2"/>
        <v>0.1511113171505572</v>
      </c>
      <c r="E60" s="629">
        <f t="shared" si="3"/>
        <v>0.1354462309978908</v>
      </c>
      <c r="F60" s="629">
        <f t="shared" si="4"/>
        <v>0.13870573584208956</v>
      </c>
      <c r="G60" s="256">
        <f t="shared" si="5"/>
        <v>0.13589595917532116</v>
      </c>
      <c r="H60" s="628"/>
      <c r="I60" s="256"/>
      <c r="J60" s="256"/>
      <c r="K60" s="256"/>
      <c r="L60" s="256"/>
      <c r="M60" s="256"/>
      <c r="N60" s="256"/>
      <c r="O60" s="451">
        <f t="shared" si="6"/>
        <v>0.14014785602972718</v>
      </c>
    </row>
    <row r="61" spans="2:15" ht="19.5" thickBot="1" x14ac:dyDescent="0.35">
      <c r="B61" s="255" t="s">
        <v>147</v>
      </c>
      <c r="C61" s="629">
        <f t="shared" si="1"/>
        <v>0.11936180669166258</v>
      </c>
      <c r="D61" s="629">
        <f t="shared" si="2"/>
        <v>0.11302549336611795</v>
      </c>
      <c r="E61" s="629">
        <f t="shared" si="3"/>
        <v>0.10910910454090846</v>
      </c>
      <c r="F61" s="629">
        <f t="shared" si="4"/>
        <v>0.10725042442039817</v>
      </c>
      <c r="G61" s="256">
        <f t="shared" si="5"/>
        <v>0.10640398265128617</v>
      </c>
      <c r="H61" s="628"/>
      <c r="I61" s="256"/>
      <c r="J61" s="256"/>
      <c r="K61" s="256"/>
      <c r="L61" s="256"/>
      <c r="M61" s="256"/>
      <c r="N61" s="256"/>
      <c r="O61" s="451">
        <f t="shared" si="6"/>
        <v>0.11103016233407466</v>
      </c>
    </row>
    <row r="62" spans="2:15" ht="19.5" thickBot="1" x14ac:dyDescent="0.35">
      <c r="B62" s="255" t="s">
        <v>148</v>
      </c>
      <c r="C62" s="629">
        <f t="shared" si="1"/>
        <v>0.16876797643049279</v>
      </c>
      <c r="D62" s="629">
        <f t="shared" si="2"/>
        <v>0.15908905904989126</v>
      </c>
      <c r="E62" s="629">
        <f t="shared" si="3"/>
        <v>0.15799845041394475</v>
      </c>
      <c r="F62" s="629">
        <f t="shared" si="4"/>
        <v>0.16317730095185951</v>
      </c>
      <c r="G62" s="256">
        <f t="shared" si="5"/>
        <v>0.1670543769132887</v>
      </c>
      <c r="H62" s="256"/>
      <c r="I62" s="256"/>
      <c r="J62" s="256"/>
      <c r="K62" s="256"/>
      <c r="L62" s="256"/>
      <c r="M62" s="256"/>
      <c r="N62" s="256"/>
      <c r="O62" s="451">
        <f t="shared" si="6"/>
        <v>0.1632174327518954</v>
      </c>
    </row>
    <row r="63" spans="2:15" ht="19.5" thickBot="1" x14ac:dyDescent="0.35">
      <c r="B63" s="255" t="s">
        <v>149</v>
      </c>
      <c r="C63" s="629">
        <f t="shared" si="1"/>
        <v>0</v>
      </c>
      <c r="D63" s="629">
        <f t="shared" si="2"/>
        <v>0</v>
      </c>
      <c r="E63" s="629">
        <f t="shared" si="3"/>
        <v>5.5508465284660087E-2</v>
      </c>
      <c r="F63" s="629">
        <f t="shared" si="4"/>
        <v>6.6824291538410296E-2</v>
      </c>
      <c r="G63" s="256">
        <f t="shared" si="5"/>
        <v>6.0945163217381915E-2</v>
      </c>
      <c r="H63" s="256"/>
      <c r="I63" s="258"/>
      <c r="J63" s="258"/>
      <c r="K63" s="258"/>
      <c r="L63" s="258"/>
      <c r="M63" s="258"/>
      <c r="N63" s="256"/>
      <c r="O63" s="451">
        <f t="shared" si="6"/>
        <v>3.6655584008090457E-2</v>
      </c>
    </row>
    <row r="64" spans="2:15" ht="18.75" x14ac:dyDescent="0.3">
      <c r="B64" s="255" t="s">
        <v>150</v>
      </c>
      <c r="C64" s="723">
        <f t="shared" si="1"/>
        <v>8.2505753341134386E-2</v>
      </c>
      <c r="D64" s="723">
        <f t="shared" si="2"/>
        <v>7.2296483624548588E-2</v>
      </c>
      <c r="E64" s="723">
        <f>+E75/$E$76</f>
        <v>9.2451742613737592E-2</v>
      </c>
      <c r="F64" s="723">
        <f t="shared" si="4"/>
        <v>7.0564242286205753E-2</v>
      </c>
      <c r="G64" s="723">
        <f t="shared" si="5"/>
        <v>7.0975026437255367E-2</v>
      </c>
      <c r="H64" s="723"/>
      <c r="I64" s="724"/>
      <c r="J64" s="724"/>
      <c r="K64" s="724"/>
      <c r="L64" s="724"/>
      <c r="M64" s="724"/>
      <c r="N64" s="256"/>
      <c r="O64" s="451">
        <f t="shared" si="6"/>
        <v>7.7758649660576329E-2</v>
      </c>
    </row>
    <row r="65" spans="2:14" s="261" customFormat="1" ht="23.25" thickBot="1" x14ac:dyDescent="0.5">
      <c r="B65" s="259" t="s">
        <v>94</v>
      </c>
      <c r="C65" s="260">
        <f>SUM(C57:C64)</f>
        <v>1</v>
      </c>
      <c r="D65" s="260">
        <f>SUM(D57:D64)</f>
        <v>0.99999999999999978</v>
      </c>
      <c r="E65" s="260">
        <f>SUM(E57:E64)</f>
        <v>1</v>
      </c>
      <c r="F65" s="260">
        <f>SUM(F57:F64)</f>
        <v>1.0000000000000002</v>
      </c>
      <c r="G65" s="260">
        <f>SUM(G57:G64)</f>
        <v>1</v>
      </c>
      <c r="H65" s="260">
        <f t="shared" ref="H65:N65" si="7">SUM(H57:H64)</f>
        <v>0</v>
      </c>
      <c r="I65" s="260">
        <f t="shared" si="7"/>
        <v>0</v>
      </c>
      <c r="J65" s="260">
        <f t="shared" si="7"/>
        <v>0</v>
      </c>
      <c r="K65" s="260">
        <f t="shared" si="7"/>
        <v>0</v>
      </c>
      <c r="L65" s="260">
        <f t="shared" si="7"/>
        <v>0</v>
      </c>
      <c r="M65" s="260">
        <f t="shared" si="7"/>
        <v>0</v>
      </c>
      <c r="N65" s="260">
        <f t="shared" si="7"/>
        <v>0</v>
      </c>
    </row>
    <row r="66" spans="2:14" ht="15.75" thickBot="1" x14ac:dyDescent="0.3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</row>
    <row r="67" spans="2:14" ht="19.5" customHeight="1" thickBot="1" x14ac:dyDescent="0.35">
      <c r="B67" s="262" t="s">
        <v>95</v>
      </c>
      <c r="C67" s="263" t="s">
        <v>82</v>
      </c>
      <c r="D67" s="263" t="s">
        <v>83</v>
      </c>
      <c r="E67" s="263" t="s">
        <v>84</v>
      </c>
      <c r="F67" s="263" t="s">
        <v>85</v>
      </c>
      <c r="G67" s="263" t="s">
        <v>86</v>
      </c>
      <c r="H67" s="263" t="s">
        <v>87</v>
      </c>
      <c r="I67" s="263" t="s">
        <v>88</v>
      </c>
      <c r="J67" s="263" t="s">
        <v>89</v>
      </c>
      <c r="K67" s="263" t="s">
        <v>90</v>
      </c>
      <c r="L67" s="263" t="s">
        <v>91</v>
      </c>
      <c r="M67" s="263" t="s">
        <v>92</v>
      </c>
      <c r="N67" s="264" t="s">
        <v>93</v>
      </c>
    </row>
    <row r="68" spans="2:14" ht="19.5" customHeight="1" thickBot="1" x14ac:dyDescent="0.35">
      <c r="B68" s="265" t="str">
        <f>+B57</f>
        <v>LOCAL 1</v>
      </c>
      <c r="C68" s="266">
        <f>+'Enero 16'!C35</f>
        <v>411382.3</v>
      </c>
      <c r="D68" s="267">
        <f>+'Febrero 16'!C35</f>
        <v>467991</v>
      </c>
      <c r="E68" s="267">
        <f>+'Marzo 16'!C37</f>
        <v>756912.2</v>
      </c>
      <c r="F68" s="267">
        <f>+'Abril 21'!C37</f>
        <v>1095231</v>
      </c>
      <c r="G68" s="267">
        <f>+'mayo 21'!C37</f>
        <v>1063039.8</v>
      </c>
      <c r="H68" s="267"/>
      <c r="I68" s="267"/>
      <c r="J68" s="267"/>
      <c r="K68" s="267"/>
      <c r="L68" s="267"/>
      <c r="M68" s="267"/>
      <c r="N68" s="268"/>
    </row>
    <row r="69" spans="2:14" ht="19.5" customHeight="1" thickBot="1" x14ac:dyDescent="0.35">
      <c r="B69" s="265" t="str">
        <f t="shared" ref="B69:B75" si="8">+B58</f>
        <v>LOCAL 2</v>
      </c>
      <c r="C69" s="269">
        <f>+'Enero 16'!E35</f>
        <v>741137</v>
      </c>
      <c r="D69" s="270">
        <f>+'Febrero 16'!E35</f>
        <v>640217</v>
      </c>
      <c r="E69" s="270">
        <f>+'Marzo 16'!E37</f>
        <v>1031869.2</v>
      </c>
      <c r="F69" s="270">
        <f>+'Abril 21'!E37</f>
        <v>1410814.7</v>
      </c>
      <c r="G69" s="270">
        <f>+'mayo 21'!E37</f>
        <v>1395098.35</v>
      </c>
      <c r="H69" s="270"/>
      <c r="I69" s="270"/>
      <c r="J69" s="270"/>
      <c r="K69" s="270"/>
      <c r="L69" s="270"/>
      <c r="M69" s="270"/>
      <c r="N69" s="273"/>
    </row>
    <row r="70" spans="2:14" ht="19.5" customHeight="1" thickBot="1" x14ac:dyDescent="0.35">
      <c r="B70" s="265" t="str">
        <f t="shared" si="8"/>
        <v>LOCAL 3</v>
      </c>
      <c r="C70" s="269">
        <f>+'Enero 16'!G35</f>
        <v>350028.6</v>
      </c>
      <c r="D70" s="270">
        <f>+'Febrero 16'!G35</f>
        <v>273807</v>
      </c>
      <c r="E70" s="270">
        <f>+'Marzo 16'!G37</f>
        <v>382990</v>
      </c>
      <c r="F70" s="270">
        <f>+'Abril 21'!G37</f>
        <v>487069.80000000005</v>
      </c>
      <c r="G70" s="270">
        <f>+'mayo 21'!G37</f>
        <v>501482</v>
      </c>
      <c r="H70" s="270"/>
      <c r="I70" s="270"/>
      <c r="J70" s="270"/>
      <c r="K70" s="270"/>
      <c r="L70" s="270"/>
      <c r="M70" s="270"/>
      <c r="N70" s="273"/>
    </row>
    <row r="71" spans="2:14" ht="18.75" customHeight="1" thickBot="1" x14ac:dyDescent="0.35">
      <c r="B71" s="265" t="str">
        <f t="shared" si="8"/>
        <v>LOCAL 4</v>
      </c>
      <c r="C71" s="269">
        <f>+'Enero 16'!I35</f>
        <v>428200</v>
      </c>
      <c r="D71" s="270">
        <f>+'Febrero 16'!I35</f>
        <v>413969</v>
      </c>
      <c r="E71" s="270">
        <f>+'Marzo 16'!I37</f>
        <v>654432.5</v>
      </c>
      <c r="F71" s="270">
        <f>+'Abril 21'!I37</f>
        <v>915507</v>
      </c>
      <c r="G71" s="270">
        <f>+'mayo 21'!I37</f>
        <v>876778</v>
      </c>
      <c r="H71" s="270"/>
      <c r="I71" s="270"/>
      <c r="J71" s="270"/>
      <c r="K71" s="270"/>
      <c r="L71" s="270"/>
      <c r="M71" s="270"/>
      <c r="N71" s="273"/>
    </row>
    <row r="72" spans="2:14" ht="23.25" customHeight="1" thickBot="1" x14ac:dyDescent="0.35">
      <c r="B72" s="265" t="str">
        <f t="shared" si="8"/>
        <v>LOCAL 5</v>
      </c>
      <c r="C72" s="269">
        <f>+'Enero 16'!K35</f>
        <v>366175.04000000004</v>
      </c>
      <c r="D72" s="270">
        <f>+'Febrero 16'!K35</f>
        <v>309633</v>
      </c>
      <c r="E72" s="270">
        <f>+'Marzo 16'!K37</f>
        <v>527180</v>
      </c>
      <c r="F72" s="270">
        <f>+'Abril 21'!K37</f>
        <v>707890.8</v>
      </c>
      <c r="G72" s="270">
        <f>+'mayo 21'!K37</f>
        <v>686500.7</v>
      </c>
      <c r="H72" s="270"/>
      <c r="I72" s="270"/>
      <c r="J72" s="270"/>
      <c r="K72" s="270"/>
      <c r="L72" s="270"/>
      <c r="M72" s="270"/>
      <c r="N72" s="273"/>
    </row>
    <row r="73" spans="2:14" ht="23.25" customHeight="1" thickBot="1" x14ac:dyDescent="0.35">
      <c r="B73" s="265" t="str">
        <f t="shared" si="8"/>
        <v>LOCAL 6</v>
      </c>
      <c r="C73" s="311">
        <f>+'Enero 16'!M35</f>
        <v>517742</v>
      </c>
      <c r="D73" s="312">
        <f>+'Febrero 16'!M35</f>
        <v>435824</v>
      </c>
      <c r="E73" s="312">
        <f>+'Marzo 16'!M37</f>
        <v>763397.55</v>
      </c>
      <c r="F73" s="312">
        <f>+'Abril 21'!M37</f>
        <v>1077028</v>
      </c>
      <c r="G73" s="270">
        <f>+'mayo 21'!M37</f>
        <v>1077806.8999999999</v>
      </c>
      <c r="H73" s="270"/>
      <c r="I73" s="270"/>
      <c r="J73" s="270"/>
      <c r="K73" s="270"/>
      <c r="L73" s="270"/>
      <c r="M73" s="270"/>
      <c r="N73" s="273"/>
    </row>
    <row r="74" spans="2:14" ht="23.25" customHeight="1" thickBot="1" x14ac:dyDescent="0.35">
      <c r="B74" s="265" t="str">
        <f t="shared" si="8"/>
        <v>LOCAL 7</v>
      </c>
      <c r="C74" s="442"/>
      <c r="D74" s="443"/>
      <c r="E74" s="443">
        <f>+'Marzo 16'!Q37</f>
        <v>268199</v>
      </c>
      <c r="F74" s="443">
        <f>+'Abril 21'!Q37</f>
        <v>441064</v>
      </c>
      <c r="G74" s="285">
        <f>+'mayo 21'!O37</f>
        <v>393208</v>
      </c>
      <c r="H74" s="285"/>
      <c r="I74" s="285"/>
      <c r="J74" s="285"/>
      <c r="K74" s="285"/>
      <c r="L74" s="285"/>
      <c r="M74" s="285"/>
      <c r="N74" s="444"/>
    </row>
    <row r="75" spans="2:14" ht="23.25" customHeight="1" thickBot="1" x14ac:dyDescent="0.35">
      <c r="B75" s="265" t="str">
        <f t="shared" si="8"/>
        <v>LOCAL 8</v>
      </c>
      <c r="C75" s="275">
        <f>+'Enero 16'!O35</f>
        <v>253109</v>
      </c>
      <c r="D75" s="276">
        <f>+'Febrero 16'!O35</f>
        <v>198056</v>
      </c>
      <c r="E75" s="276">
        <f>+'Marzo 16'!O37</f>
        <v>446697</v>
      </c>
      <c r="F75" s="276">
        <f>+'Abril 21'!O37</f>
        <v>465749</v>
      </c>
      <c r="G75" s="276">
        <f>+'mayo 21'!Q37</f>
        <v>457919</v>
      </c>
      <c r="H75" s="276"/>
      <c r="I75" s="276"/>
      <c r="J75" s="276"/>
      <c r="K75" s="276"/>
      <c r="L75" s="276"/>
      <c r="M75" s="276"/>
      <c r="N75" s="276"/>
    </row>
    <row r="76" spans="2:14" s="261" customFormat="1" ht="23.25" thickBot="1" x14ac:dyDescent="0.5">
      <c r="B76" s="277" t="s">
        <v>94</v>
      </c>
      <c r="C76" s="278">
        <f>SUM(C68:C75)</f>
        <v>3067773.94</v>
      </c>
      <c r="D76" s="278">
        <f>SUM(D68:D75)</f>
        <v>2739497</v>
      </c>
      <c r="E76" s="278">
        <f>SUM(E68:E75)</f>
        <v>4831677.45</v>
      </c>
      <c r="F76" s="278">
        <f t="shared" ref="F76:K76" si="9">SUM(F68:F75)</f>
        <v>6600354.2999999998</v>
      </c>
      <c r="G76" s="278">
        <f t="shared" si="9"/>
        <v>6451832.75</v>
      </c>
      <c r="H76" s="278"/>
      <c r="I76" s="278">
        <f t="shared" si="9"/>
        <v>0</v>
      </c>
      <c r="J76" s="278">
        <f t="shared" si="9"/>
        <v>0</v>
      </c>
      <c r="K76" s="278">
        <f t="shared" si="9"/>
        <v>0</v>
      </c>
      <c r="L76" s="278">
        <f>SUM(L68:L75)</f>
        <v>0</v>
      </c>
      <c r="M76" s="278">
        <f>SUM(M68:M75)</f>
        <v>0</v>
      </c>
      <c r="N76" s="278">
        <f>SUM(N68:N75)</f>
        <v>0</v>
      </c>
    </row>
    <row r="77" spans="2:14" s="280" customFormat="1" x14ac:dyDescent="0.3"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</row>
    <row r="78" spans="2:14" s="280" customFormat="1" x14ac:dyDescent="0.3">
      <c r="B78" s="279"/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</row>
    <row r="79" spans="2:14" s="280" customFormat="1" ht="9" customHeight="1" thickBot="1" x14ac:dyDescent="0.35"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</row>
    <row r="80" spans="2:14" ht="18.75" customHeight="1" x14ac:dyDescent="0.3">
      <c r="B80" s="244" t="s">
        <v>153</v>
      </c>
      <c r="C80" s="245" t="s">
        <v>67</v>
      </c>
      <c r="D80" s="245" t="s">
        <v>69</v>
      </c>
      <c r="E80" s="245" t="s">
        <v>70</v>
      </c>
      <c r="F80" s="245" t="s">
        <v>71</v>
      </c>
      <c r="G80" s="245" t="s">
        <v>72</v>
      </c>
      <c r="H80" s="245" t="s">
        <v>73</v>
      </c>
      <c r="I80" s="245" t="s">
        <v>74</v>
      </c>
      <c r="J80" s="245" t="s">
        <v>75</v>
      </c>
      <c r="K80" s="245" t="s">
        <v>76</v>
      </c>
      <c r="L80" s="245" t="s">
        <v>77</v>
      </c>
      <c r="M80" s="245" t="s">
        <v>78</v>
      </c>
      <c r="N80" s="246" t="s">
        <v>68</v>
      </c>
    </row>
    <row r="81" spans="2:14" ht="27" customHeight="1" x14ac:dyDescent="0.3">
      <c r="B81" s="247" t="s">
        <v>79</v>
      </c>
      <c r="C81" s="248">
        <f>+C107</f>
        <v>1164885.0999999999</v>
      </c>
      <c r="D81" s="248">
        <f>+D107</f>
        <v>1388270.5999999999</v>
      </c>
      <c r="E81" s="248">
        <f>+E107</f>
        <v>1905877.4500000002</v>
      </c>
      <c r="F81" s="248">
        <f>+'[1]Abril 15'!I33</f>
        <v>2847958.28</v>
      </c>
      <c r="G81" s="248">
        <f>+'[1]Mayo 15'!J33</f>
        <v>3409426.21</v>
      </c>
      <c r="H81" s="248">
        <f>+'[1]Junio 15'!I33</f>
        <v>3336641.9</v>
      </c>
      <c r="I81" s="248">
        <f>+Recaudacion!I57</f>
        <v>3887181.35</v>
      </c>
      <c r="J81" s="248">
        <f>+'[1]Agosto 15'!H34</f>
        <v>2923073.96</v>
      </c>
      <c r="K81" s="248">
        <f>+'[1]Setiembre 15'!I33</f>
        <v>3449788.52</v>
      </c>
      <c r="L81" s="248">
        <f>+Recaudacion!M57</f>
        <v>4951300.63</v>
      </c>
      <c r="M81" s="248">
        <f>+'[1]Noviembre 15'!P35</f>
        <v>3980401.35</v>
      </c>
      <c r="N81" s="248">
        <f>+'[1]Diciembre 15'!P37</f>
        <v>6043890.3599999994</v>
      </c>
    </row>
    <row r="82" spans="2:14" ht="25.5" customHeight="1" x14ac:dyDescent="0.3">
      <c r="B82" s="247" t="s">
        <v>80</v>
      </c>
      <c r="C82" s="249">
        <v>26</v>
      </c>
      <c r="D82" s="249">
        <v>23</v>
      </c>
      <c r="E82" s="249">
        <v>25</v>
      </c>
      <c r="F82" s="249">
        <v>26</v>
      </c>
      <c r="G82" s="250">
        <v>25</v>
      </c>
      <c r="H82" s="251">
        <v>26</v>
      </c>
      <c r="I82" s="251">
        <v>27</v>
      </c>
      <c r="J82" s="251">
        <v>25</v>
      </c>
      <c r="K82" s="251">
        <v>26</v>
      </c>
      <c r="L82" s="251">
        <v>26</v>
      </c>
      <c r="M82" s="251">
        <v>23</v>
      </c>
      <c r="N82" s="251">
        <v>26</v>
      </c>
    </row>
    <row r="83" spans="2:14" ht="25.5" customHeight="1" x14ac:dyDescent="0.3">
      <c r="B83" s="247" t="s">
        <v>81</v>
      </c>
      <c r="C83" s="248">
        <f t="shared" ref="C83:N83" si="10">+C81/C82</f>
        <v>44803.273076923069</v>
      </c>
      <c r="D83" s="248">
        <f t="shared" si="10"/>
        <v>60359.591304347821</v>
      </c>
      <c r="E83" s="248">
        <f t="shared" si="10"/>
        <v>76235.098000000013</v>
      </c>
      <c r="F83" s="248">
        <f t="shared" si="10"/>
        <v>109536.85692307692</v>
      </c>
      <c r="G83" s="248">
        <f t="shared" si="10"/>
        <v>136377.0484</v>
      </c>
      <c r="H83" s="248">
        <f t="shared" si="10"/>
        <v>128332.38076923076</v>
      </c>
      <c r="I83" s="248">
        <f t="shared" si="10"/>
        <v>143969.67962962962</v>
      </c>
      <c r="J83" s="248">
        <f t="shared" si="10"/>
        <v>116922.9584</v>
      </c>
      <c r="K83" s="248">
        <f t="shared" si="10"/>
        <v>132684.17384615383</v>
      </c>
      <c r="L83" s="248">
        <f t="shared" si="10"/>
        <v>190434.6396153846</v>
      </c>
      <c r="M83" s="248">
        <f t="shared" si="10"/>
        <v>173060.92826086958</v>
      </c>
      <c r="N83" s="248">
        <f t="shared" si="10"/>
        <v>232457.32153846152</v>
      </c>
    </row>
    <row r="84" spans="2:14" x14ac:dyDescent="0.3">
      <c r="B84" s="243"/>
      <c r="C84" s="117"/>
      <c r="D84" s="117"/>
      <c r="E84" s="117"/>
      <c r="F84" s="117"/>
      <c r="G84" s="117"/>
      <c r="H84" s="117"/>
      <c r="I84" s="139"/>
      <c r="J84" s="140"/>
      <c r="K84" s="141"/>
      <c r="L84" s="117"/>
      <c r="M84" s="117"/>
      <c r="N84" s="117"/>
    </row>
    <row r="85" spans="2:14" ht="15.75" thickBot="1" x14ac:dyDescent="0.35">
      <c r="B85" s="243"/>
      <c r="C85" s="117"/>
      <c r="D85" s="117"/>
      <c r="E85" s="117"/>
      <c r="F85" s="117"/>
      <c r="G85" s="117"/>
      <c r="H85" s="117"/>
      <c r="I85" s="139"/>
      <c r="J85" s="140"/>
      <c r="K85" s="141"/>
      <c r="L85" s="117"/>
      <c r="M85" s="117"/>
      <c r="N85" s="117"/>
    </row>
    <row r="86" spans="2:14" ht="19.5" customHeight="1" thickBot="1" x14ac:dyDescent="0.35">
      <c r="B86" s="708">
        <v>2020</v>
      </c>
      <c r="C86" s="709"/>
      <c r="D86" s="709"/>
      <c r="E86" s="709"/>
      <c r="F86" s="709"/>
      <c r="G86" s="709"/>
      <c r="H86" s="709"/>
      <c r="I86" s="709"/>
      <c r="J86" s="709"/>
      <c r="K86" s="709"/>
      <c r="L86" s="709"/>
      <c r="M86" s="709"/>
      <c r="N86" s="710"/>
    </row>
    <row r="87" spans="2:14" ht="15.75" thickBot="1" x14ac:dyDescent="0.35">
      <c r="B87" s="252"/>
      <c r="C87" s="253" t="s">
        <v>82</v>
      </c>
      <c r="D87" s="253" t="s">
        <v>83</v>
      </c>
      <c r="E87" s="253" t="s">
        <v>84</v>
      </c>
      <c r="F87" s="253" t="s">
        <v>85</v>
      </c>
      <c r="G87" s="253" t="s">
        <v>86</v>
      </c>
      <c r="H87" s="253" t="s">
        <v>87</v>
      </c>
      <c r="I87" s="253" t="s">
        <v>88</v>
      </c>
      <c r="J87" s="253" t="s">
        <v>89</v>
      </c>
      <c r="K87" s="253" t="s">
        <v>90</v>
      </c>
      <c r="L87" s="253" t="s">
        <v>91</v>
      </c>
      <c r="M87" s="253" t="s">
        <v>92</v>
      </c>
      <c r="N87" s="254" t="s">
        <v>93</v>
      </c>
    </row>
    <row r="88" spans="2:14" s="257" customFormat="1" ht="19.5" thickBot="1" x14ac:dyDescent="0.35">
      <c r="B88" s="255" t="str">
        <f>+B68</f>
        <v>LOCAL 1</v>
      </c>
      <c r="C88" s="256">
        <f t="shared" ref="C88:C95" si="11">+C99/$C$107</f>
        <v>0.20093050378960126</v>
      </c>
      <c r="D88" s="256">
        <f t="shared" ref="D88:D95" si="12">+D99/$D$107</f>
        <v>0.209624838270003</v>
      </c>
      <c r="E88" s="256">
        <f t="shared" ref="E88:E95" si="13">+E99/$E$107</f>
        <v>0.21799166572855982</v>
      </c>
      <c r="F88" s="256">
        <f t="shared" ref="F88:F95" si="14">+F99/$F$107</f>
        <v>0.20659019274678422</v>
      </c>
      <c r="G88" s="256">
        <f t="shared" ref="G88:G95" si="15">+G99/$G$107</f>
        <v>0.20218501810602318</v>
      </c>
      <c r="H88" s="256">
        <f t="shared" ref="H88:N94" si="16">H99/H$107</f>
        <v>0.16724067692130823</v>
      </c>
      <c r="I88" s="256">
        <f t="shared" si="16"/>
        <v>0.18764347076320478</v>
      </c>
      <c r="J88" s="256">
        <f t="shared" si="16"/>
        <v>0.18844126338835437</v>
      </c>
      <c r="K88" s="256">
        <f t="shared" si="16"/>
        <v>0.19065047792949671</v>
      </c>
      <c r="L88" s="256">
        <f t="shared" si="16"/>
        <v>0.17539828582948333</v>
      </c>
      <c r="M88" s="256">
        <f t="shared" si="16"/>
        <v>0.17364794309373771</v>
      </c>
      <c r="N88" s="256">
        <f t="shared" si="16"/>
        <v>0.14969207333792015</v>
      </c>
    </row>
    <row r="89" spans="2:14" s="257" customFormat="1" ht="19.5" thickBot="1" x14ac:dyDescent="0.35">
      <c r="B89" s="255" t="str">
        <f t="shared" ref="B89:B95" si="17">+B69</f>
        <v>LOCAL 2</v>
      </c>
      <c r="C89" s="256">
        <f t="shared" si="11"/>
        <v>0.10165551950145127</v>
      </c>
      <c r="D89" s="256">
        <f t="shared" si="12"/>
        <v>0.10011729701687841</v>
      </c>
      <c r="E89" s="256">
        <f t="shared" si="13"/>
        <v>7.8172917151624832E-2</v>
      </c>
      <c r="F89" s="256">
        <f t="shared" si="14"/>
        <v>6.1578939281371779E-2</v>
      </c>
      <c r="G89" s="256">
        <f t="shared" si="15"/>
        <v>5.0530379421234055E-2</v>
      </c>
      <c r="H89" s="256">
        <f t="shared" si="16"/>
        <v>4.5201509337876505E-2</v>
      </c>
      <c r="I89" s="256">
        <f t="shared" si="16"/>
        <v>0</v>
      </c>
      <c r="J89" s="256">
        <f t="shared" si="16"/>
        <v>0</v>
      </c>
      <c r="K89" s="256">
        <f t="shared" si="16"/>
        <v>0</v>
      </c>
      <c r="L89" s="256">
        <f t="shared" si="16"/>
        <v>0</v>
      </c>
      <c r="M89" s="256">
        <f t="shared" si="16"/>
        <v>0</v>
      </c>
      <c r="N89" s="256">
        <f t="shared" si="16"/>
        <v>0</v>
      </c>
    </row>
    <row r="90" spans="2:14" s="257" customFormat="1" ht="19.5" thickBot="1" x14ac:dyDescent="0.35">
      <c r="B90" s="255" t="str">
        <f t="shared" si="17"/>
        <v>LOCAL 3</v>
      </c>
      <c r="C90" s="256">
        <f t="shared" si="11"/>
        <v>0.33281672158052328</v>
      </c>
      <c r="D90" s="256">
        <f t="shared" si="12"/>
        <v>0.33361111299194846</v>
      </c>
      <c r="E90" s="256">
        <f t="shared" si="13"/>
        <v>0.32475511476354363</v>
      </c>
      <c r="F90" s="256">
        <f t="shared" si="14"/>
        <v>0.33709154264717667</v>
      </c>
      <c r="G90" s="256">
        <f t="shared" si="15"/>
        <v>0.29838171801934965</v>
      </c>
      <c r="H90" s="256">
        <f t="shared" si="16"/>
        <v>0.28974664617140961</v>
      </c>
      <c r="I90" s="256">
        <f t="shared" si="16"/>
        <v>0.26693214351833622</v>
      </c>
      <c r="J90" s="256">
        <f t="shared" si="16"/>
        <v>0.26407224400165363</v>
      </c>
      <c r="K90" s="256">
        <f t="shared" si="16"/>
        <v>0.27351791341723652</v>
      </c>
      <c r="L90" s="256">
        <f t="shared" si="16"/>
        <v>0.27319978786036925</v>
      </c>
      <c r="M90" s="256">
        <f t="shared" si="16"/>
        <v>0.26490766075543326</v>
      </c>
      <c r="N90" s="256">
        <f t="shared" si="16"/>
        <v>0.28876968387692531</v>
      </c>
    </row>
    <row r="91" spans="2:14" ht="19.5" thickBot="1" x14ac:dyDescent="0.35">
      <c r="B91" s="255" t="str">
        <f t="shared" si="17"/>
        <v>LOCAL 4</v>
      </c>
      <c r="C91" s="256">
        <f t="shared" si="11"/>
        <v>0.14479548240423026</v>
      </c>
      <c r="D91" s="256">
        <f t="shared" si="12"/>
        <v>0.11239811604452332</v>
      </c>
      <c r="E91" s="256">
        <f t="shared" si="13"/>
        <v>0.13603117556168157</v>
      </c>
      <c r="F91" s="256">
        <f t="shared" si="14"/>
        <v>9.9674188345202877E-2</v>
      </c>
      <c r="G91" s="256">
        <f t="shared" si="15"/>
        <v>8.8057914003072085E-2</v>
      </c>
      <c r="H91" s="256">
        <f t="shared" si="16"/>
        <v>8.355923660851948E-2</v>
      </c>
      <c r="I91" s="256">
        <f t="shared" si="16"/>
        <v>9.6417202145714143E-2</v>
      </c>
      <c r="J91" s="256">
        <f t="shared" si="16"/>
        <v>9.0242502793189683E-2</v>
      </c>
      <c r="K91" s="256">
        <f t="shared" si="16"/>
        <v>9.9465309145555819E-2</v>
      </c>
      <c r="L91" s="256">
        <f t="shared" si="16"/>
        <v>0.12253673801092951</v>
      </c>
      <c r="M91" s="256">
        <f t="shared" si="16"/>
        <v>0.11303715304022884</v>
      </c>
      <c r="N91" s="256">
        <f t="shared" si="16"/>
        <v>0.12114743749940587</v>
      </c>
    </row>
    <row r="92" spans="2:14" ht="19.5" thickBot="1" x14ac:dyDescent="0.35">
      <c r="B92" s="255" t="str">
        <f t="shared" si="17"/>
        <v>LOCAL 5</v>
      </c>
      <c r="C92" s="256">
        <f t="shared" si="11"/>
        <v>0.14556676877401903</v>
      </c>
      <c r="D92" s="256">
        <f t="shared" si="12"/>
        <v>0.1674432203635228</v>
      </c>
      <c r="E92" s="256">
        <f t="shared" si="13"/>
        <v>0.17450597361336112</v>
      </c>
      <c r="F92" s="256">
        <f t="shared" si="14"/>
        <v>0.15263678651921825</v>
      </c>
      <c r="G92" s="256">
        <f t="shared" si="15"/>
        <v>0.12895730041331499</v>
      </c>
      <c r="H92" s="256">
        <f t="shared" si="16"/>
        <v>0.11661147994335264</v>
      </c>
      <c r="I92" s="256">
        <f t="shared" si="16"/>
        <v>0.12159243612341368</v>
      </c>
      <c r="J92" s="256">
        <f t="shared" si="16"/>
        <v>0.12954903132180756</v>
      </c>
      <c r="K92" s="256">
        <f t="shared" si="16"/>
        <v>0.11845410300336208</v>
      </c>
      <c r="L92" s="256">
        <f t="shared" si="16"/>
        <v>0.11592251922420913</v>
      </c>
      <c r="M92" s="256">
        <f t="shared" si="16"/>
        <v>0.14061533554859063</v>
      </c>
      <c r="N92" s="256">
        <f t="shared" si="16"/>
        <v>0.14502561793831137</v>
      </c>
    </row>
    <row r="93" spans="2:14" ht="19.5" thickBot="1" x14ac:dyDescent="0.35">
      <c r="B93" s="255" t="str">
        <f t="shared" si="17"/>
        <v>LOCAL 6</v>
      </c>
      <c r="C93" s="256">
        <f t="shared" si="11"/>
        <v>7.4235003950175016E-2</v>
      </c>
      <c r="D93" s="256">
        <f t="shared" si="12"/>
        <v>7.6805415313124112E-2</v>
      </c>
      <c r="E93" s="256">
        <f t="shared" si="13"/>
        <v>6.854315318122893E-2</v>
      </c>
      <c r="F93" s="256">
        <f t="shared" si="14"/>
        <v>8.2269463582170188E-2</v>
      </c>
      <c r="G93" s="256">
        <f t="shared" si="15"/>
        <v>3.2071056320060375E-2</v>
      </c>
      <c r="H93" s="256">
        <f t="shared" si="16"/>
        <v>0</v>
      </c>
      <c r="I93" s="256">
        <f t="shared" si="16"/>
        <v>0</v>
      </c>
      <c r="J93" s="256">
        <f t="shared" si="16"/>
        <v>0</v>
      </c>
      <c r="K93" s="256">
        <f t="shared" si="16"/>
        <v>0</v>
      </c>
      <c r="L93" s="256">
        <f t="shared" si="16"/>
        <v>0</v>
      </c>
      <c r="M93" s="256">
        <f t="shared" si="16"/>
        <v>0</v>
      </c>
      <c r="N93" s="256">
        <f t="shared" si="16"/>
        <v>0</v>
      </c>
    </row>
    <row r="94" spans="2:14" ht="19.5" thickBot="1" x14ac:dyDescent="0.35">
      <c r="B94" s="255" t="str">
        <f t="shared" si="17"/>
        <v>LOCAL 7</v>
      </c>
      <c r="C94" s="256">
        <f t="shared" si="11"/>
        <v>0</v>
      </c>
      <c r="D94" s="256">
        <f t="shared" si="12"/>
        <v>0</v>
      </c>
      <c r="E94" s="256">
        <f t="shared" si="13"/>
        <v>0</v>
      </c>
      <c r="F94" s="256">
        <f t="shared" si="14"/>
        <v>6.0158886878076044E-2</v>
      </c>
      <c r="G94" s="256">
        <f t="shared" si="15"/>
        <v>0.13796779018719399</v>
      </c>
      <c r="H94" s="256">
        <f t="shared" si="16"/>
        <v>0.15971477190884645</v>
      </c>
      <c r="I94" s="256">
        <f t="shared" si="16"/>
        <v>0.14389166587249652</v>
      </c>
      <c r="J94" s="256">
        <f t="shared" si="16"/>
        <v>0.16057619698408179</v>
      </c>
      <c r="K94" s="256">
        <f t="shared" si="16"/>
        <v>0.14351520294962355</v>
      </c>
      <c r="L94" s="256">
        <f t="shared" si="16"/>
        <v>0.13893341046259952</v>
      </c>
      <c r="M94" s="256">
        <f t="shared" si="16"/>
        <v>0.12628455776949638</v>
      </c>
      <c r="N94" s="256">
        <f t="shared" si="16"/>
        <v>0.11201956803257579</v>
      </c>
    </row>
    <row r="95" spans="2:14" ht="18.75" x14ac:dyDescent="0.3">
      <c r="B95" s="255" t="str">
        <f t="shared" si="17"/>
        <v>LOCAL 8</v>
      </c>
      <c r="C95" s="256">
        <f t="shared" si="11"/>
        <v>0</v>
      </c>
      <c r="D95" s="256">
        <f t="shared" si="12"/>
        <v>0</v>
      </c>
      <c r="E95" s="256">
        <f t="shared" si="13"/>
        <v>0</v>
      </c>
      <c r="F95" s="256">
        <f t="shared" si="14"/>
        <v>0</v>
      </c>
      <c r="G95" s="256">
        <f t="shared" si="15"/>
        <v>6.1848823529751656E-2</v>
      </c>
      <c r="H95" s="256">
        <f>H106/H$107</f>
        <v>0.13792567910868708</v>
      </c>
      <c r="I95" s="256">
        <f>I106/I$107</f>
        <v>0.18352308157683458</v>
      </c>
      <c r="J95" s="256">
        <f>J106/J$107</f>
        <v>0.16711876151091298</v>
      </c>
      <c r="K95" s="256">
        <f>K106/K107</f>
        <v>0.17439699355472529</v>
      </c>
      <c r="L95" s="256">
        <f>L106/L107</f>
        <v>0.17400925861240935</v>
      </c>
      <c r="M95" s="256">
        <f>+M106/M107</f>
        <v>0.18150734979251315</v>
      </c>
      <c r="N95" s="256">
        <f>+N106/N107</f>
        <v>0.18334561931486146</v>
      </c>
    </row>
    <row r="96" spans="2:14" s="261" customFormat="1" ht="23.25" thickBot="1" x14ac:dyDescent="0.5">
      <c r="B96" s="259" t="s">
        <v>94</v>
      </c>
      <c r="C96" s="260">
        <f>SUM(C88:C93)</f>
        <v>1</v>
      </c>
      <c r="D96" s="260">
        <f>SUM(D88:D93)</f>
        <v>1</v>
      </c>
      <c r="E96" s="260">
        <f>SUM(E88:E93)</f>
        <v>0.99999999999999989</v>
      </c>
      <c r="F96" s="260">
        <f>SUM(F88:F94)</f>
        <v>1</v>
      </c>
      <c r="G96" s="260">
        <f t="shared" ref="G96:N96" si="18">SUM(G88:G95)</f>
        <v>0.99999999999999989</v>
      </c>
      <c r="H96" s="260">
        <f t="shared" si="18"/>
        <v>1</v>
      </c>
      <c r="I96" s="260">
        <f t="shared" si="18"/>
        <v>0.99999999999999989</v>
      </c>
      <c r="J96" s="260">
        <f t="shared" si="18"/>
        <v>0.99999999999999989</v>
      </c>
      <c r="K96" s="260">
        <f t="shared" si="18"/>
        <v>1.0000000000000002</v>
      </c>
      <c r="L96" s="260">
        <f t="shared" si="18"/>
        <v>1.0000000000000002</v>
      </c>
      <c r="M96" s="260">
        <f t="shared" si="18"/>
        <v>0.99999999999999989</v>
      </c>
      <c r="N96" s="260">
        <f t="shared" si="18"/>
        <v>1</v>
      </c>
    </row>
    <row r="97" spans="2:14" ht="15.75" thickBot="1" x14ac:dyDescent="0.3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</row>
    <row r="98" spans="2:14" ht="19.5" customHeight="1" thickBot="1" x14ac:dyDescent="0.35">
      <c r="B98" s="262" t="s">
        <v>95</v>
      </c>
      <c r="C98" s="263" t="s">
        <v>82</v>
      </c>
      <c r="D98" s="263" t="s">
        <v>83</v>
      </c>
      <c r="E98" s="263" t="s">
        <v>84</v>
      </c>
      <c r="F98" s="263" t="s">
        <v>85</v>
      </c>
      <c r="G98" s="263" t="s">
        <v>86</v>
      </c>
      <c r="H98" s="263" t="s">
        <v>87</v>
      </c>
      <c r="I98" s="263" t="s">
        <v>88</v>
      </c>
      <c r="J98" s="263" t="s">
        <v>89</v>
      </c>
      <c r="K98" s="263" t="s">
        <v>90</v>
      </c>
      <c r="L98" s="263" t="s">
        <v>91</v>
      </c>
      <c r="M98" s="263" t="s">
        <v>92</v>
      </c>
      <c r="N98" s="264" t="s">
        <v>93</v>
      </c>
    </row>
    <row r="99" spans="2:14" ht="19.5" customHeight="1" thickBot="1" x14ac:dyDescent="0.35">
      <c r="B99" s="265" t="str">
        <f>+B88</f>
        <v>LOCAL 1</v>
      </c>
      <c r="C99" s="266">
        <f>+'[1]Enero 15'!B33</f>
        <v>234060.95</v>
      </c>
      <c r="D99" s="267">
        <f>+'[1]Febrero 15'!B33</f>
        <v>291016</v>
      </c>
      <c r="E99" s="267">
        <v>415465.4</v>
      </c>
      <c r="F99" s="267">
        <f>+'[1]Abril 15'!B33</f>
        <v>588360.25</v>
      </c>
      <c r="G99" s="267">
        <f>+'[1]Mayo 15'!B33</f>
        <v>689334.9</v>
      </c>
      <c r="H99" s="267">
        <f>+'[1]Junio 15'!B33</f>
        <v>558022.25</v>
      </c>
      <c r="I99" s="267">
        <f>+'[1]Julio 15'!B34</f>
        <v>729404.2</v>
      </c>
      <c r="J99" s="267">
        <f>+'[1]Agosto 15'!B34</f>
        <v>550827.75</v>
      </c>
      <c r="K99" s="267">
        <f>+'[1]Setiembre 15'!B33</f>
        <v>638139.85</v>
      </c>
      <c r="L99" s="267">
        <v>777293.4</v>
      </c>
      <c r="M99" s="267">
        <f>+'[1]Noviembre 15'!C35</f>
        <v>616278</v>
      </c>
      <c r="N99" s="268">
        <f>+'[1]Diciembre 15'!C37</f>
        <v>822629.39999999991</v>
      </c>
    </row>
    <row r="100" spans="2:14" ht="19.5" customHeight="1" thickBot="1" x14ac:dyDescent="0.35">
      <c r="B100" s="265" t="str">
        <f t="shared" ref="B100:B106" si="19">+B89</f>
        <v>LOCAL 2</v>
      </c>
      <c r="C100" s="269">
        <f>+'[1]Enero 15'!C33</f>
        <v>118417</v>
      </c>
      <c r="D100" s="270">
        <f>+'[1]Febrero 15'!C33</f>
        <v>138989.9</v>
      </c>
      <c r="E100" s="270">
        <v>148988</v>
      </c>
      <c r="F100" s="270">
        <f>+'[1]Abril 15'!C33</f>
        <v>175374.25</v>
      </c>
      <c r="G100" s="270">
        <f>+'[1]Mayo 15'!C33</f>
        <v>172279.6</v>
      </c>
      <c r="H100" s="270">
        <f>+'[1]Junio 15'!C33</f>
        <v>150821.25</v>
      </c>
      <c r="I100" s="271">
        <f>+'[1]Julio 15'!B37</f>
        <v>0</v>
      </c>
      <c r="J100" s="271">
        <f>+'[1]Julio 15'!C37</f>
        <v>0</v>
      </c>
      <c r="K100" s="271"/>
      <c r="L100" s="271"/>
      <c r="M100" s="271"/>
      <c r="N100" s="272"/>
    </row>
    <row r="101" spans="2:14" ht="19.5" customHeight="1" thickBot="1" x14ac:dyDescent="0.35">
      <c r="B101" s="265" t="str">
        <f t="shared" si="19"/>
        <v>LOCAL 3</v>
      </c>
      <c r="C101" s="269">
        <f>+'[1]Enero 15'!D33</f>
        <v>387693.24</v>
      </c>
      <c r="D101" s="270">
        <f>+'[1]Febrero 15'!D33</f>
        <v>463142.5</v>
      </c>
      <c r="E101" s="270">
        <v>618943.44999999995</v>
      </c>
      <c r="F101" s="270">
        <f>+'[1]Abril 15'!D33</f>
        <v>960022.64999999991</v>
      </c>
      <c r="G101" s="270">
        <f>+'[1]Mayo 15'!D33</f>
        <v>1017310.45</v>
      </c>
      <c r="H101" s="270">
        <f>+'[1]Junio 15'!D33</f>
        <v>966780.79999999993</v>
      </c>
      <c r="I101" s="270">
        <f>+'[1]Julio 15'!C34</f>
        <v>1037613.65</v>
      </c>
      <c r="J101" s="270">
        <f>+'[1]Agosto 15'!C34</f>
        <v>771902.7</v>
      </c>
      <c r="K101" s="270">
        <f>+'[1]Setiembre 15'!C33</f>
        <v>915511.37</v>
      </c>
      <c r="L101" s="270">
        <v>1210709.6200000001</v>
      </c>
      <c r="M101" s="270">
        <f>+'[1]Noviembre 15'!E35</f>
        <v>940159.5</v>
      </c>
      <c r="N101" s="273">
        <f>+'[1]Diciembre 15'!E37</f>
        <v>1586927.26</v>
      </c>
    </row>
    <row r="102" spans="2:14" ht="19.5" customHeight="1" thickBot="1" x14ac:dyDescent="0.35">
      <c r="B102" s="265" t="str">
        <f t="shared" si="19"/>
        <v>LOCAL 4</v>
      </c>
      <c r="C102" s="269">
        <f>+'[1]Enero 15'!E33</f>
        <v>168670.1</v>
      </c>
      <c r="D102" s="270">
        <f>+'[1]Febrero 15'!E33</f>
        <v>156039</v>
      </c>
      <c r="E102" s="270">
        <v>259258.75</v>
      </c>
      <c r="F102" s="270">
        <f>+'[1]Abril 15'!E33</f>
        <v>283867.93</v>
      </c>
      <c r="G102" s="270">
        <f>+'[1]Mayo 15'!E33</f>
        <v>300226.95999999996</v>
      </c>
      <c r="H102" s="270">
        <f>+'[1]Junio 15'!E33</f>
        <v>278807.25</v>
      </c>
      <c r="I102" s="270">
        <f>+'[1]Julio 15'!D34</f>
        <v>374791.15</v>
      </c>
      <c r="J102" s="270">
        <f>+'[1]Agosto 15'!D34</f>
        <v>263785.51</v>
      </c>
      <c r="K102" s="270">
        <f>+'[1]Setiembre 15'!D33</f>
        <v>332927.44999999995</v>
      </c>
      <c r="L102" s="270">
        <v>543032.66</v>
      </c>
      <c r="M102" s="270">
        <f>+'[1]Noviembre 15'!G35</f>
        <v>401169.80000000005</v>
      </c>
      <c r="N102" s="273">
        <f>+'[1]Diciembre 15'!G37</f>
        <v>665763</v>
      </c>
    </row>
    <row r="103" spans="2:14" ht="18.75" customHeight="1" thickBot="1" x14ac:dyDescent="0.35">
      <c r="B103" s="265" t="str">
        <f t="shared" si="19"/>
        <v>LOCAL 5</v>
      </c>
      <c r="C103" s="269">
        <f>+'[1]Enero 15'!F33</f>
        <v>169568.56</v>
      </c>
      <c r="D103" s="270">
        <f>+'[1]Febrero 15'!F33</f>
        <v>232456.5</v>
      </c>
      <c r="E103" s="270">
        <v>332587</v>
      </c>
      <c r="F103" s="270">
        <f>+'[1]Abril 15'!F33</f>
        <v>434703.19999999995</v>
      </c>
      <c r="G103" s="270">
        <f>+'[1]Mayo 15'!F33</f>
        <v>439670.39999999997</v>
      </c>
      <c r="H103" s="270">
        <f>+'[1]Junio 15'!F33</f>
        <v>389090.75</v>
      </c>
      <c r="I103" s="270">
        <f>+'[1]Julio 15'!E34</f>
        <v>472651.85</v>
      </c>
      <c r="J103" s="270">
        <f>+'[1]Agosto 15'!E34</f>
        <v>378681.4</v>
      </c>
      <c r="K103" s="270">
        <f>+'[1]Setiembre 15'!E33</f>
        <v>396486.2</v>
      </c>
      <c r="L103" s="270">
        <v>513721.15</v>
      </c>
      <c r="M103" s="270">
        <f>+'[1]Noviembre 15'!I35</f>
        <v>499045</v>
      </c>
      <c r="N103" s="273">
        <f>+'[1]Diciembre 15'!H36</f>
        <v>796985</v>
      </c>
    </row>
    <row r="104" spans="2:14" ht="23.25" customHeight="1" thickBot="1" x14ac:dyDescent="0.35">
      <c r="B104" s="265" t="str">
        <f t="shared" si="19"/>
        <v>LOCAL 6</v>
      </c>
      <c r="C104" s="269">
        <f>+'[1]Enero 15'!G33</f>
        <v>86475.25</v>
      </c>
      <c r="D104" s="270">
        <f>+'[1]Febrero 15'!G33</f>
        <v>106626.7</v>
      </c>
      <c r="E104" s="270">
        <v>130634.85</v>
      </c>
      <c r="F104" s="270">
        <f>+'[1]Abril 15'!G33</f>
        <v>234300.00000000003</v>
      </c>
      <c r="G104" s="270">
        <f>+'[1]Mayo 15'!G33</f>
        <v>109343.9</v>
      </c>
      <c r="H104" s="271">
        <v>0</v>
      </c>
      <c r="I104" s="271">
        <f>+'[1]Julio 15'!E37</f>
        <v>0</v>
      </c>
      <c r="J104" s="271">
        <f>+'[1]Julio 15'!F37</f>
        <v>0</v>
      </c>
      <c r="K104" s="271"/>
      <c r="L104" s="271"/>
      <c r="M104" s="271"/>
      <c r="N104" s="272"/>
    </row>
    <row r="105" spans="2:14" ht="23.25" customHeight="1" thickBot="1" x14ac:dyDescent="0.35">
      <c r="B105" s="265" t="str">
        <f t="shared" si="19"/>
        <v>LOCAL 7</v>
      </c>
      <c r="C105" s="269">
        <f>+'[1]Enero 15'!G34</f>
        <v>0</v>
      </c>
      <c r="D105" s="270">
        <f>+'[1]Febrero 15'!G34</f>
        <v>0</v>
      </c>
      <c r="E105" s="270">
        <f>+'[1]Febrero 15'!H34</f>
        <v>0</v>
      </c>
      <c r="F105" s="270">
        <f>+'[1]Abril 15'!H33</f>
        <v>171330</v>
      </c>
      <c r="G105" s="270">
        <f>+'[1]Mayo 15'!H33</f>
        <v>470391</v>
      </c>
      <c r="H105" s="270">
        <f>+'[1]Junio 15'!H33</f>
        <v>532911</v>
      </c>
      <c r="I105" s="270">
        <f>+'[1]Julio 15'!F34</f>
        <v>559333</v>
      </c>
      <c r="J105" s="270">
        <f>+'[1]Agosto 15'!F34</f>
        <v>469376.1</v>
      </c>
      <c r="K105" s="270">
        <f>+'[1]Setiembre 15'!F33</f>
        <v>480370</v>
      </c>
      <c r="L105" s="270">
        <v>615696</v>
      </c>
      <c r="M105" s="270">
        <f>+'[1]Noviembre 15'!K35</f>
        <v>448184.95</v>
      </c>
      <c r="N105" s="273">
        <f>+'[1]Diciembre 15'!J36</f>
        <v>615601</v>
      </c>
    </row>
    <row r="106" spans="2:14" ht="23.25" customHeight="1" x14ac:dyDescent="0.3">
      <c r="B106" s="265" t="str">
        <f t="shared" si="19"/>
        <v>LOCAL 8</v>
      </c>
      <c r="C106" s="274"/>
      <c r="D106" s="271"/>
      <c r="E106" s="271"/>
      <c r="F106" s="271"/>
      <c r="G106" s="270">
        <f>+'[1]Mayo 15'!I33</f>
        <v>210869</v>
      </c>
      <c r="H106" s="270">
        <f>+'[1]Junio 15'!G33</f>
        <v>460208.6</v>
      </c>
      <c r="I106" s="270">
        <f>+'[1]Julio 15'!G34</f>
        <v>713387.5</v>
      </c>
      <c r="J106" s="270">
        <f>+'[1]Agosto 15'!G34</f>
        <v>488500.5</v>
      </c>
      <c r="K106" s="270">
        <f>+'[1]Setiembre 15'!G33</f>
        <v>583736.65</v>
      </c>
      <c r="L106" s="270">
        <v>771137.8</v>
      </c>
      <c r="M106" s="270">
        <f>+'[1]Noviembre 15'!M35</f>
        <v>644171.1</v>
      </c>
      <c r="N106" s="273">
        <f>+'[1]Diciembre 15'!M37</f>
        <v>1007571.7</v>
      </c>
    </row>
    <row r="107" spans="2:14" s="261" customFormat="1" ht="23.25" thickBot="1" x14ac:dyDescent="0.5">
      <c r="B107" s="277" t="s">
        <v>94</v>
      </c>
      <c r="C107" s="278">
        <f t="shared" ref="C107:N107" si="20">SUM(C99:C106)</f>
        <v>1164885.0999999999</v>
      </c>
      <c r="D107" s="278">
        <f t="shared" si="20"/>
        <v>1388270.5999999999</v>
      </c>
      <c r="E107" s="278">
        <f t="shared" si="20"/>
        <v>1905877.4500000002</v>
      </c>
      <c r="F107" s="278">
        <f t="shared" si="20"/>
        <v>2847958.28</v>
      </c>
      <c r="G107" s="278">
        <f t="shared" si="20"/>
        <v>3409426.21</v>
      </c>
      <c r="H107" s="278">
        <f t="shared" si="20"/>
        <v>3336641.9</v>
      </c>
      <c r="I107" s="278">
        <f t="shared" si="20"/>
        <v>3887181.35</v>
      </c>
      <c r="J107" s="278">
        <f t="shared" si="20"/>
        <v>2923073.96</v>
      </c>
      <c r="K107" s="278">
        <f t="shared" si="20"/>
        <v>3347171.52</v>
      </c>
      <c r="L107" s="278">
        <f t="shared" si="20"/>
        <v>4431590.63</v>
      </c>
      <c r="M107" s="278">
        <f t="shared" si="20"/>
        <v>3549008.35</v>
      </c>
      <c r="N107" s="278">
        <f t="shared" si="20"/>
        <v>5495477.3600000003</v>
      </c>
    </row>
    <row r="108" spans="2:14" s="280" customFormat="1" x14ac:dyDescent="0.3">
      <c r="B108" s="279"/>
      <c r="C108" s="279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</row>
    <row r="109" spans="2:14" s="280" customFormat="1" x14ac:dyDescent="0.3"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</row>
    <row r="110" spans="2:14" s="280" customFormat="1" ht="9" customHeight="1" x14ac:dyDescent="0.3">
      <c r="B110" s="281"/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</row>
    <row r="111" spans="2:14" s="280" customFormat="1" x14ac:dyDescent="0.3">
      <c r="B111" s="243" t="s">
        <v>154</v>
      </c>
      <c r="C111" s="117"/>
      <c r="D111" s="117"/>
      <c r="E111" s="117"/>
      <c r="F111" s="117"/>
      <c r="G111" s="117"/>
      <c r="H111" s="117"/>
      <c r="I111" s="139"/>
      <c r="J111" s="140"/>
      <c r="K111" s="141"/>
      <c r="L111" s="117"/>
      <c r="M111" s="117"/>
      <c r="N111" s="117"/>
    </row>
    <row r="112" spans="2:14" ht="18.75" customHeight="1" thickBot="1" x14ac:dyDescent="0.35">
      <c r="B112" s="243"/>
      <c r="C112" s="117"/>
      <c r="D112" s="117"/>
      <c r="E112" s="117"/>
      <c r="F112" s="117"/>
      <c r="G112" s="117"/>
      <c r="H112" s="117"/>
      <c r="I112" s="139"/>
      <c r="J112" s="140"/>
      <c r="K112" s="141"/>
      <c r="L112" s="117"/>
      <c r="M112" s="117"/>
      <c r="N112" s="117"/>
    </row>
    <row r="113" spans="2:14" ht="27" customHeight="1" x14ac:dyDescent="0.3">
      <c r="B113" s="244" t="s">
        <v>156</v>
      </c>
      <c r="C113" s="245" t="s">
        <v>67</v>
      </c>
      <c r="D113" s="245" t="s">
        <v>69</v>
      </c>
      <c r="E113" s="245" t="s">
        <v>70</v>
      </c>
      <c r="F113" s="245" t="s">
        <v>71</v>
      </c>
      <c r="G113" s="245" t="s">
        <v>72</v>
      </c>
      <c r="H113" s="245" t="s">
        <v>73</v>
      </c>
      <c r="I113" s="245" t="s">
        <v>74</v>
      </c>
      <c r="J113" s="245" t="s">
        <v>75</v>
      </c>
      <c r="K113" s="245" t="s">
        <v>76</v>
      </c>
      <c r="L113" s="245" t="s">
        <v>77</v>
      </c>
      <c r="M113" s="245" t="s">
        <v>78</v>
      </c>
      <c r="N113" s="246" t="s">
        <v>68</v>
      </c>
    </row>
    <row r="114" spans="2:14" ht="18" x14ac:dyDescent="0.3">
      <c r="B114" s="247" t="s">
        <v>79</v>
      </c>
      <c r="C114" s="248">
        <f>+C136</f>
        <v>727423.54</v>
      </c>
      <c r="D114" s="248">
        <f t="shared" ref="D114:N114" si="21">+D136</f>
        <v>1163234.95</v>
      </c>
      <c r="E114" s="248">
        <f t="shared" si="21"/>
        <v>1600811.9</v>
      </c>
      <c r="F114" s="248">
        <f t="shared" si="21"/>
        <v>1848510.15</v>
      </c>
      <c r="G114" s="248">
        <f t="shared" si="21"/>
        <v>1761540.5699999998</v>
      </c>
      <c r="H114" s="248">
        <f t="shared" si="21"/>
        <v>1733351.6800000002</v>
      </c>
      <c r="I114" s="248">
        <f t="shared" si="21"/>
        <v>1876583.9399999997</v>
      </c>
      <c r="J114" s="248">
        <f t="shared" si="21"/>
        <v>2005525.76</v>
      </c>
      <c r="K114" s="248">
        <f t="shared" si="21"/>
        <v>1949844.79</v>
      </c>
      <c r="L114" s="248">
        <f t="shared" si="21"/>
        <v>2446829.23</v>
      </c>
      <c r="M114" s="248">
        <f t="shared" si="21"/>
        <v>2040795.4</v>
      </c>
      <c r="N114" s="248">
        <f t="shared" si="21"/>
        <v>3397954.68</v>
      </c>
    </row>
    <row r="115" spans="2:14" ht="25.5" customHeight="1" x14ac:dyDescent="0.3">
      <c r="B115" s="247" t="s">
        <v>80</v>
      </c>
      <c r="C115" s="249">
        <v>26</v>
      </c>
      <c r="D115" s="249">
        <v>24</v>
      </c>
      <c r="E115" s="249">
        <v>24</v>
      </c>
      <c r="F115" s="249">
        <v>24</v>
      </c>
      <c r="G115" s="250">
        <v>26</v>
      </c>
      <c r="H115" s="251">
        <v>25</v>
      </c>
      <c r="I115" s="251">
        <v>26</v>
      </c>
      <c r="J115" s="251">
        <v>25</v>
      </c>
      <c r="K115" s="251">
        <v>25</v>
      </c>
      <c r="L115" s="251">
        <v>27</v>
      </c>
      <c r="M115" s="251">
        <v>24</v>
      </c>
      <c r="N115" s="251">
        <v>26</v>
      </c>
    </row>
    <row r="116" spans="2:14" ht="18" x14ac:dyDescent="0.3">
      <c r="B116" s="247" t="s">
        <v>81</v>
      </c>
      <c r="C116" s="248">
        <f>+C114/C115</f>
        <v>27977.828461538462</v>
      </c>
      <c r="D116" s="248">
        <f t="shared" ref="D116:N116" si="22">+D114/D115</f>
        <v>48468.122916666667</v>
      </c>
      <c r="E116" s="248">
        <f t="shared" si="22"/>
        <v>66700.495833333334</v>
      </c>
      <c r="F116" s="248">
        <f t="shared" si="22"/>
        <v>77021.256249999991</v>
      </c>
      <c r="G116" s="248">
        <f t="shared" si="22"/>
        <v>67751.560384615383</v>
      </c>
      <c r="H116" s="248">
        <f t="shared" si="22"/>
        <v>69334.067200000005</v>
      </c>
      <c r="I116" s="248">
        <f t="shared" si="22"/>
        <v>72176.305384615378</v>
      </c>
      <c r="J116" s="248">
        <f t="shared" si="22"/>
        <v>80221.030400000003</v>
      </c>
      <c r="K116" s="248">
        <f t="shared" si="22"/>
        <v>77993.791599999997</v>
      </c>
      <c r="L116" s="248">
        <f t="shared" si="22"/>
        <v>90623.304814814808</v>
      </c>
      <c r="M116" s="248">
        <f t="shared" si="22"/>
        <v>85033.141666666663</v>
      </c>
      <c r="N116" s="248">
        <f t="shared" si="22"/>
        <v>130690.56461538462</v>
      </c>
    </row>
    <row r="117" spans="2:14" x14ac:dyDescent="0.3">
      <c r="B117" s="243"/>
      <c r="C117" s="117"/>
      <c r="D117" s="117"/>
      <c r="E117" s="117"/>
      <c r="F117" s="117"/>
      <c r="G117" s="117"/>
      <c r="H117" s="117"/>
      <c r="I117" s="139"/>
      <c r="J117" s="140"/>
      <c r="K117" s="141"/>
      <c r="L117" s="117"/>
      <c r="M117" s="117"/>
      <c r="N117" s="117"/>
    </row>
    <row r="118" spans="2:14" ht="19.5" customHeight="1" thickBot="1" x14ac:dyDescent="0.35">
      <c r="B118" s="243"/>
      <c r="C118" s="117"/>
      <c r="D118" s="117"/>
      <c r="E118" s="117"/>
      <c r="F118" s="117"/>
      <c r="G118" s="117"/>
      <c r="H118" s="117"/>
      <c r="I118" s="139"/>
      <c r="J118" s="140"/>
      <c r="K118" s="141"/>
      <c r="L118" s="117"/>
      <c r="M118" s="117"/>
      <c r="N118" s="117"/>
    </row>
    <row r="119" spans="2:14" ht="17.25" thickBot="1" x14ac:dyDescent="0.35">
      <c r="B119" s="708">
        <v>2019</v>
      </c>
      <c r="C119" s="709"/>
      <c r="D119" s="709"/>
      <c r="E119" s="709"/>
      <c r="F119" s="709"/>
      <c r="G119" s="709"/>
      <c r="H119" s="709"/>
      <c r="I119" s="709"/>
      <c r="J119" s="709"/>
      <c r="K119" s="709"/>
      <c r="L119" s="709"/>
      <c r="M119" s="709"/>
      <c r="N119" s="710"/>
    </row>
    <row r="120" spans="2:14" s="257" customFormat="1" x14ac:dyDescent="0.3">
      <c r="B120" s="252"/>
      <c r="C120" s="253" t="s">
        <v>82</v>
      </c>
      <c r="D120" s="253" t="s">
        <v>83</v>
      </c>
      <c r="E120" s="253" t="s">
        <v>84</v>
      </c>
      <c r="F120" s="253" t="s">
        <v>85</v>
      </c>
      <c r="G120" s="253" t="s">
        <v>86</v>
      </c>
      <c r="H120" s="253" t="s">
        <v>87</v>
      </c>
      <c r="I120" s="253" t="s">
        <v>88</v>
      </c>
      <c r="J120" s="253" t="s">
        <v>89</v>
      </c>
      <c r="K120" s="253" t="s">
        <v>90</v>
      </c>
      <c r="L120" s="253" t="s">
        <v>91</v>
      </c>
      <c r="M120" s="253" t="s">
        <v>92</v>
      </c>
      <c r="N120" s="254" t="s">
        <v>93</v>
      </c>
    </row>
    <row r="121" spans="2:14" s="257" customFormat="1" ht="18.75" x14ac:dyDescent="0.3">
      <c r="B121" s="282" t="s">
        <v>143</v>
      </c>
      <c r="C121" s="256">
        <f t="shared" ref="C121:N127" si="23">C130/C$136</f>
        <v>0.23860480236864481</v>
      </c>
      <c r="D121" s="256">
        <f t="shared" si="23"/>
        <v>0.23983555514730706</v>
      </c>
      <c r="E121" s="256">
        <f t="shared" si="23"/>
        <v>0.24724272726858165</v>
      </c>
      <c r="F121" s="256">
        <f t="shared" si="23"/>
        <v>0.2176574253595524</v>
      </c>
      <c r="G121" s="256">
        <f t="shared" si="23"/>
        <v>0.23969107904224993</v>
      </c>
      <c r="H121" s="256">
        <f t="shared" si="23"/>
        <v>0.25855485368093334</v>
      </c>
      <c r="I121" s="256">
        <f t="shared" si="23"/>
        <v>0.25089285374572695</v>
      </c>
      <c r="J121" s="256">
        <f t="shared" si="23"/>
        <v>0.23775172052639204</v>
      </c>
      <c r="K121" s="256">
        <f t="shared" si="23"/>
        <v>0.20152350177574901</v>
      </c>
      <c r="L121" s="256">
        <f t="shared" si="23"/>
        <v>0.20430749472450926</v>
      </c>
      <c r="M121" s="256">
        <f t="shared" si="23"/>
        <v>0.25379976846282581</v>
      </c>
      <c r="N121" s="256">
        <f t="shared" si="23"/>
        <v>0.22227613700839588</v>
      </c>
    </row>
    <row r="122" spans="2:14" ht="18.75" x14ac:dyDescent="0.3">
      <c r="B122" s="282" t="s">
        <v>144</v>
      </c>
      <c r="C122" s="256">
        <f t="shared" si="23"/>
        <v>7.0245320903417563E-2</v>
      </c>
      <c r="D122" s="256">
        <f t="shared" si="23"/>
        <v>0.10028863902344062</v>
      </c>
      <c r="E122" s="256">
        <f t="shared" si="23"/>
        <v>0.10508369534234473</v>
      </c>
      <c r="F122" s="256">
        <f t="shared" si="23"/>
        <v>7.6930310607166527E-2</v>
      </c>
      <c r="G122" s="256">
        <f t="shared" si="23"/>
        <v>8.1882445659483188E-2</v>
      </c>
      <c r="H122" s="256">
        <f t="shared" si="23"/>
        <v>7.9277016652500643E-2</v>
      </c>
      <c r="I122" s="256">
        <f t="shared" si="23"/>
        <v>7.745490457517186E-2</v>
      </c>
      <c r="J122" s="256">
        <f t="shared" si="23"/>
        <v>8.8958114404873057E-2</v>
      </c>
      <c r="K122" s="256">
        <f t="shared" si="23"/>
        <v>8.0772890646337039E-2</v>
      </c>
      <c r="L122" s="256">
        <f t="shared" si="23"/>
        <v>7.8464446004676835E-2</v>
      </c>
      <c r="M122" s="256">
        <f t="shared" si="23"/>
        <v>8.7060172715011028E-2</v>
      </c>
      <c r="N122" s="256">
        <f t="shared" si="23"/>
        <v>8.8395528571322796E-2</v>
      </c>
    </row>
    <row r="123" spans="2:14" ht="18.75" x14ac:dyDescent="0.3">
      <c r="B123" s="282" t="s">
        <v>145</v>
      </c>
      <c r="C123" s="256">
        <f t="shared" si="23"/>
        <v>0.29231036433052465</v>
      </c>
      <c r="D123" s="256">
        <f t="shared" si="23"/>
        <v>0.29205570207463249</v>
      </c>
      <c r="E123" s="256">
        <f t="shared" si="23"/>
        <v>0.29681301719458736</v>
      </c>
      <c r="F123" s="256">
        <f t="shared" si="23"/>
        <v>0.34742132738627374</v>
      </c>
      <c r="G123" s="256">
        <f t="shared" si="23"/>
        <v>0.33017396811928101</v>
      </c>
      <c r="H123" s="256">
        <f t="shared" si="23"/>
        <v>0.28799340362366621</v>
      </c>
      <c r="I123" s="256">
        <f t="shared" si="23"/>
        <v>0.30284747614327345</v>
      </c>
      <c r="J123" s="256">
        <f t="shared" si="23"/>
        <v>0.26597653874064425</v>
      </c>
      <c r="K123" s="256">
        <f t="shared" si="23"/>
        <v>0.3504280974076916</v>
      </c>
      <c r="L123" s="256">
        <f t="shared" si="23"/>
        <v>0.34292619186995738</v>
      </c>
      <c r="M123" s="256">
        <f t="shared" si="23"/>
        <v>0.2903715384697555</v>
      </c>
      <c r="N123" s="256">
        <f t="shared" si="23"/>
        <v>0.36004209449903551</v>
      </c>
    </row>
    <row r="124" spans="2:14" ht="18.75" x14ac:dyDescent="0.3">
      <c r="B124" s="282" t="s">
        <v>146</v>
      </c>
      <c r="C124" s="256">
        <f t="shared" si="23"/>
        <v>0.16947904930324362</v>
      </c>
      <c r="D124" s="256">
        <f t="shared" si="23"/>
        <v>0.13025335079555511</v>
      </c>
      <c r="E124" s="256">
        <f t="shared" si="23"/>
        <v>0.12864128508789821</v>
      </c>
      <c r="F124" s="256">
        <f t="shared" si="23"/>
        <v>0.12532128103272788</v>
      </c>
      <c r="G124" s="256">
        <f t="shared" si="23"/>
        <v>0.1326395224607288</v>
      </c>
      <c r="H124" s="256">
        <f t="shared" si="23"/>
        <v>0.12946135085524016</v>
      </c>
      <c r="I124" s="256">
        <f t="shared" si="23"/>
        <v>0.12983298791313327</v>
      </c>
      <c r="J124" s="256">
        <f t="shared" si="23"/>
        <v>0.1436757910304777</v>
      </c>
      <c r="K124" s="256">
        <f t="shared" si="23"/>
        <v>0.13810120240391033</v>
      </c>
      <c r="L124" s="256">
        <f t="shared" si="23"/>
        <v>0.13006588122212354</v>
      </c>
      <c r="M124" s="256">
        <f t="shared" si="23"/>
        <v>0.10918093504130792</v>
      </c>
      <c r="N124" s="256">
        <f t="shared" si="23"/>
        <v>0.11905632596606615</v>
      </c>
    </row>
    <row r="125" spans="2:14" ht="18.75" x14ac:dyDescent="0.3">
      <c r="B125" s="282" t="s">
        <v>147</v>
      </c>
      <c r="C125" s="256">
        <f t="shared" si="23"/>
        <v>0.1713661204860101</v>
      </c>
      <c r="D125" s="256">
        <f t="shared" si="23"/>
        <v>0.17771749378747606</v>
      </c>
      <c r="E125" s="256">
        <f t="shared" si="23"/>
        <v>0.16291420622247998</v>
      </c>
      <c r="F125" s="256">
        <f t="shared" si="23"/>
        <v>0.15751501283344319</v>
      </c>
      <c r="G125" s="256">
        <f t="shared" si="23"/>
        <v>0.15941750350944234</v>
      </c>
      <c r="H125" s="256">
        <f t="shared" si="23"/>
        <v>0.1758029161168263</v>
      </c>
      <c r="I125" s="256">
        <f t="shared" si="23"/>
        <v>0.17080085956613272</v>
      </c>
      <c r="J125" s="256">
        <f t="shared" si="23"/>
        <v>0.18281105000615902</v>
      </c>
      <c r="K125" s="256">
        <f t="shared" si="23"/>
        <v>0.1561928424056768</v>
      </c>
      <c r="L125" s="256">
        <f t="shared" si="23"/>
        <v>0.16728637821610462</v>
      </c>
      <c r="M125" s="256">
        <f t="shared" si="23"/>
        <v>0.17270254039184918</v>
      </c>
      <c r="N125" s="256">
        <f t="shared" si="23"/>
        <v>0.14454401139923384</v>
      </c>
    </row>
    <row r="126" spans="2:14" ht="18.75" x14ac:dyDescent="0.3">
      <c r="B126" s="282" t="s">
        <v>148</v>
      </c>
      <c r="C126" s="256">
        <f t="shared" si="23"/>
        <v>5.7994342608159194E-2</v>
      </c>
      <c r="D126" s="256">
        <f t="shared" si="23"/>
        <v>5.9849259171588683E-2</v>
      </c>
      <c r="E126" s="256">
        <f t="shared" si="23"/>
        <v>5.9305068884108122E-2</v>
      </c>
      <c r="F126" s="256">
        <f t="shared" si="23"/>
        <v>7.5154642780836237E-2</v>
      </c>
      <c r="G126" s="256">
        <f t="shared" si="23"/>
        <v>5.6195481208814853E-2</v>
      </c>
      <c r="H126" s="256">
        <f t="shared" si="23"/>
        <v>6.8910459070833208E-2</v>
      </c>
      <c r="I126" s="256">
        <f t="shared" si="23"/>
        <v>6.8170918056561877E-2</v>
      </c>
      <c r="J126" s="256">
        <f t="shared" si="23"/>
        <v>8.0826785291453943E-2</v>
      </c>
      <c r="K126" s="256">
        <f t="shared" si="23"/>
        <v>7.2981465360635184E-2</v>
      </c>
      <c r="L126" s="256">
        <f t="shared" si="23"/>
        <v>7.6949607962628438E-2</v>
      </c>
      <c r="M126" s="256">
        <f t="shared" si="23"/>
        <v>8.6885044919250615E-2</v>
      </c>
      <c r="N126" s="256">
        <f t="shared" si="23"/>
        <v>6.5685902555945808E-2</v>
      </c>
    </row>
    <row r="127" spans="2:14" ht="15.75" thickBot="1" x14ac:dyDescent="0.35">
      <c r="B127" s="283" t="s">
        <v>94</v>
      </c>
      <c r="C127" s="284">
        <f t="shared" si="23"/>
        <v>1</v>
      </c>
      <c r="D127" s="284">
        <f t="shared" si="23"/>
        <v>1</v>
      </c>
      <c r="E127" s="284">
        <f t="shared" si="23"/>
        <v>1</v>
      </c>
      <c r="F127" s="284">
        <f t="shared" si="23"/>
        <v>1</v>
      </c>
      <c r="G127" s="284">
        <f t="shared" si="23"/>
        <v>1</v>
      </c>
      <c r="H127" s="284">
        <f t="shared" si="23"/>
        <v>1</v>
      </c>
      <c r="I127" s="284">
        <f t="shared" si="23"/>
        <v>1</v>
      </c>
      <c r="J127" s="284">
        <f t="shared" si="23"/>
        <v>1</v>
      </c>
      <c r="K127" s="284">
        <f t="shared" si="23"/>
        <v>1</v>
      </c>
      <c r="L127" s="284">
        <f t="shared" si="23"/>
        <v>1</v>
      </c>
      <c r="M127" s="284">
        <f t="shared" si="23"/>
        <v>1</v>
      </c>
      <c r="N127" s="284">
        <f t="shared" si="23"/>
        <v>1</v>
      </c>
    </row>
    <row r="128" spans="2:14" ht="15.75" thickBot="1" x14ac:dyDescent="0.3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</row>
    <row r="129" spans="2:15" x14ac:dyDescent="0.3">
      <c r="B129" s="252" t="s">
        <v>95</v>
      </c>
      <c r="C129" s="253" t="s">
        <v>82</v>
      </c>
      <c r="D129" s="253" t="s">
        <v>83</v>
      </c>
      <c r="E129" s="253" t="s">
        <v>84</v>
      </c>
      <c r="F129" s="253" t="s">
        <v>85</v>
      </c>
      <c r="G129" s="253" t="s">
        <v>86</v>
      </c>
      <c r="H129" s="253" t="s">
        <v>87</v>
      </c>
      <c r="I129" s="253" t="s">
        <v>88</v>
      </c>
      <c r="J129" s="253" t="s">
        <v>89</v>
      </c>
      <c r="K129" s="253" t="s">
        <v>90</v>
      </c>
      <c r="L129" s="253" t="s">
        <v>91</v>
      </c>
      <c r="M129" s="253" t="s">
        <v>92</v>
      </c>
      <c r="N129" s="254" t="s">
        <v>93</v>
      </c>
    </row>
    <row r="130" spans="2:15" ht="18.75" x14ac:dyDescent="0.3">
      <c r="B130" s="282" t="str">
        <f>+B121</f>
        <v>LOCAL 1</v>
      </c>
      <c r="C130" s="270">
        <f>+'[1]ENERO 14'!B33</f>
        <v>173566.75</v>
      </c>
      <c r="D130" s="270">
        <f>+'[1]FEBRERO 14'!B33</f>
        <v>278985.09999999998</v>
      </c>
      <c r="E130" s="270">
        <f>+'[1]marzo 14'!B33</f>
        <v>395789.1</v>
      </c>
      <c r="F130" s="270">
        <f>+'[1]ABRIL 14'!B36</f>
        <v>402341.96</v>
      </c>
      <c r="G130" s="270">
        <f>+'[1]mayo 14'!B33</f>
        <v>422225.55999999994</v>
      </c>
      <c r="H130" s="270">
        <f>+'[1]junio 14'!B33</f>
        <v>448166.49</v>
      </c>
      <c r="I130" s="270">
        <f>+'[1]julio 14'!B33</f>
        <v>470821.49999999994</v>
      </c>
      <c r="J130" s="270">
        <f>+'[1]agosto 14'!B33</f>
        <v>476817.2</v>
      </c>
      <c r="K130" s="270">
        <f>+'[1]septiembre 14'!B33</f>
        <v>392939.55</v>
      </c>
      <c r="L130" s="270">
        <f>+'[1]Octubre 14'!B33</f>
        <v>499905.55000000005</v>
      </c>
      <c r="M130" s="270">
        <f>+'[1]Noviembre 14'!B33</f>
        <v>517953.39999999997</v>
      </c>
      <c r="N130" s="270">
        <f>+'[1]Diciembre 14'!B33</f>
        <v>755284.24</v>
      </c>
    </row>
    <row r="131" spans="2:15" ht="19.5" customHeight="1" x14ac:dyDescent="0.3">
      <c r="B131" s="282" t="str">
        <f t="shared" ref="B131:B135" si="24">+B122</f>
        <v>LOCAL 2</v>
      </c>
      <c r="C131" s="270">
        <f>+'[1]ENERO 14'!C33</f>
        <v>51098.100000000006</v>
      </c>
      <c r="D131" s="270">
        <f>+'[1]FEBRERO 14'!C33</f>
        <v>116659.25</v>
      </c>
      <c r="E131" s="270">
        <f>+'[1]marzo 14'!C33</f>
        <v>168219.23</v>
      </c>
      <c r="F131" s="270">
        <f>+'[1]ABRIL 14'!C36</f>
        <v>142206.46</v>
      </c>
      <c r="G131" s="270">
        <f>+'[1]mayo 14'!C33</f>
        <v>144239.25000000003</v>
      </c>
      <c r="H131" s="270">
        <f>+'[1]junio 14'!C33</f>
        <v>137414.94999999998</v>
      </c>
      <c r="I131" s="270">
        <f>+'[1]julio 14'!C33</f>
        <v>145350.63</v>
      </c>
      <c r="J131" s="270">
        <f>+'[1]agosto 14'!C33</f>
        <v>178407.78999999998</v>
      </c>
      <c r="K131" s="270">
        <f>+'[1]septiembre 14'!C33</f>
        <v>157494.6</v>
      </c>
      <c r="L131" s="270">
        <f>+'[1]Octubre 14'!C33</f>
        <v>191989.1</v>
      </c>
      <c r="M131" s="270">
        <f>+'[1]Noviembre 14'!C33</f>
        <v>177672</v>
      </c>
      <c r="N131" s="270">
        <f>+'[1]Diciembre 14'!C33</f>
        <v>300364</v>
      </c>
    </row>
    <row r="132" spans="2:15" ht="19.5" customHeight="1" x14ac:dyDescent="0.3">
      <c r="B132" s="282" t="str">
        <f t="shared" si="24"/>
        <v>LOCAL 3</v>
      </c>
      <c r="C132" s="270">
        <f>+'[1]ENERO 14'!D33</f>
        <v>212633.44</v>
      </c>
      <c r="D132" s="270">
        <f>+'[1]FEBRERO 14'!D33</f>
        <v>339729.4</v>
      </c>
      <c r="E132" s="270">
        <f>+'[1]marzo 14'!D33</f>
        <v>475141.81</v>
      </c>
      <c r="F132" s="270">
        <f>+'[1]ABRIL 14'!D36</f>
        <v>642211.85</v>
      </c>
      <c r="G132" s="270">
        <f>+'[1]mayo 14'!D33</f>
        <v>581614.84000000008</v>
      </c>
      <c r="H132" s="270">
        <f>+'[1]junio 14'!D33</f>
        <v>499193.85</v>
      </c>
      <c r="I132" s="270">
        <f>+'[1]julio 14'!D33</f>
        <v>568318.71</v>
      </c>
      <c r="J132" s="270">
        <f>+'[1]agosto 14'!D33</f>
        <v>533422.80000000005</v>
      </c>
      <c r="K132" s="270">
        <f>+'[1]septiembre 14'!D33</f>
        <v>683280.4</v>
      </c>
      <c r="L132" s="270">
        <f>+'[1]Octubre 14'!D33</f>
        <v>839081.83000000007</v>
      </c>
      <c r="M132" s="270">
        <f>+'[1]Noviembre 14'!D33</f>
        <v>592588.9</v>
      </c>
      <c r="N132" s="270">
        <f>+'[1]Diciembre 14'!D33</f>
        <v>1223406.72</v>
      </c>
    </row>
    <row r="133" spans="2:15" ht="19.5" customHeight="1" x14ac:dyDescent="0.3">
      <c r="B133" s="282" t="str">
        <f t="shared" si="24"/>
        <v>LOCAL 4</v>
      </c>
      <c r="C133" s="270">
        <f>+'[1]ENERO 14'!E33</f>
        <v>123283.05</v>
      </c>
      <c r="D133" s="270">
        <f>+'[1]FEBRERO 14'!E33</f>
        <v>151515.25</v>
      </c>
      <c r="E133" s="270">
        <f>+'[1]marzo 14'!E33</f>
        <v>205930.5</v>
      </c>
      <c r="F133" s="270">
        <f>+'[1]ABRIL 14'!E36</f>
        <v>231657.65999999995</v>
      </c>
      <c r="G133" s="270">
        <f>+'[1]mayo 14'!E33</f>
        <v>233649.9</v>
      </c>
      <c r="H133" s="270">
        <f>+'[1]junio 14'!E33</f>
        <v>224402.05</v>
      </c>
      <c r="I133" s="270">
        <f>+'[1]julio 14'!E33</f>
        <v>243642.5</v>
      </c>
      <c r="J133" s="270">
        <f>+'[1]agosto 14'!E33</f>
        <v>288145.5</v>
      </c>
      <c r="K133" s="270">
        <f>+'[1]septiembre 14'!E33</f>
        <v>269275.91000000003</v>
      </c>
      <c r="L133" s="270">
        <f>+'[1]Octubre 14'!E33</f>
        <v>318249</v>
      </c>
      <c r="M133" s="270">
        <f>+'[1]Noviembre 14'!E33</f>
        <v>222815.95</v>
      </c>
      <c r="N133" s="270">
        <f>+'[1]Diciembre 14'!E33</f>
        <v>404548</v>
      </c>
    </row>
    <row r="134" spans="2:15" ht="18.75" x14ac:dyDescent="0.3">
      <c r="B134" s="282" t="str">
        <f t="shared" si="24"/>
        <v>LOCAL 5</v>
      </c>
      <c r="C134" s="270">
        <f>+'[1]ENERO 14'!F33</f>
        <v>124655.75</v>
      </c>
      <c r="D134" s="270">
        <f>+'[1]FEBRERO 14'!F33</f>
        <v>206727.2</v>
      </c>
      <c r="E134" s="270">
        <f>+'[1]marzo 14'!F33</f>
        <v>260795</v>
      </c>
      <c r="F134" s="270">
        <f>+'[1]ABRIL 14'!F36</f>
        <v>291168.09999999998</v>
      </c>
      <c r="G134" s="270">
        <f>+'[1]mayo 14'!F33</f>
        <v>280820.40000000002</v>
      </c>
      <c r="H134" s="270">
        <f>+'[1]junio 14'!F33</f>
        <v>304728.27999999997</v>
      </c>
      <c r="I134" s="270">
        <f>+'[1]julio 14'!F33</f>
        <v>320522.14999999997</v>
      </c>
      <c r="J134" s="270">
        <f>+'[1]agosto 14'!F33</f>
        <v>366632.27000000008</v>
      </c>
      <c r="K134" s="270">
        <f>+'[1]septiembre 14'!F33</f>
        <v>304551.8</v>
      </c>
      <c r="L134" s="270">
        <f>+'[1]Octubre 14'!F33</f>
        <v>409321.2</v>
      </c>
      <c r="M134" s="270">
        <f>+'[1]Noviembre 14'!F33</f>
        <v>352450.55</v>
      </c>
      <c r="N134" s="270">
        <f>+'[1]Diciembre 14'!F33</f>
        <v>491154</v>
      </c>
    </row>
    <row r="135" spans="2:15" ht="19.5" thickBot="1" x14ac:dyDescent="0.35">
      <c r="B135" s="282" t="str">
        <f t="shared" si="24"/>
        <v>LOCAL 6</v>
      </c>
      <c r="C135" s="285">
        <f>+'[1]ENERO 14'!G33</f>
        <v>42186.45</v>
      </c>
      <c r="D135" s="285">
        <f>+'[1]FEBRERO 14'!G33</f>
        <v>69618.75</v>
      </c>
      <c r="E135" s="285">
        <f>+'[1]marzo 14'!G33</f>
        <v>94936.26</v>
      </c>
      <c r="F135" s="285">
        <f>+'[1]ABRIL 14'!G36</f>
        <v>138924.12</v>
      </c>
      <c r="G135" s="285">
        <f>+'[1]mayo 14'!G33</f>
        <v>98990.62</v>
      </c>
      <c r="H135" s="285">
        <f>+'[1]junio 14'!G33</f>
        <v>119446.06</v>
      </c>
      <c r="I135" s="285">
        <f>+'[1]julio 14'!G33</f>
        <v>127928.45000000001</v>
      </c>
      <c r="J135" s="285">
        <f>+'[1]agosto 14'!G33</f>
        <v>162100.19999999998</v>
      </c>
      <c r="K135" s="285">
        <f>+'[1]septiembre 14'!G33</f>
        <v>142302.53</v>
      </c>
      <c r="L135" s="285">
        <f>+'[1]Octubre 14'!G33</f>
        <v>188282.55000000002</v>
      </c>
      <c r="M135" s="285">
        <f>+'[1]Noviembre 14'!G33</f>
        <v>177314.6</v>
      </c>
      <c r="N135" s="285">
        <f>+'[1]Diciembre 14'!G33</f>
        <v>223197.72000000003</v>
      </c>
    </row>
    <row r="136" spans="2:15" ht="19.5" thickBot="1" x14ac:dyDescent="0.35">
      <c r="B136" s="286" t="s">
        <v>94</v>
      </c>
      <c r="C136" s="287">
        <f t="shared" ref="C136:N136" si="25">SUM(C130:C135)</f>
        <v>727423.54</v>
      </c>
      <c r="D136" s="287">
        <f t="shared" si="25"/>
        <v>1163234.95</v>
      </c>
      <c r="E136" s="287">
        <f t="shared" si="25"/>
        <v>1600811.9</v>
      </c>
      <c r="F136" s="287">
        <f t="shared" si="25"/>
        <v>1848510.15</v>
      </c>
      <c r="G136" s="287">
        <f t="shared" si="25"/>
        <v>1761540.5699999998</v>
      </c>
      <c r="H136" s="287">
        <f t="shared" si="25"/>
        <v>1733351.6800000002</v>
      </c>
      <c r="I136" s="287">
        <f t="shared" si="25"/>
        <v>1876583.9399999997</v>
      </c>
      <c r="J136" s="287">
        <f t="shared" si="25"/>
        <v>2005525.76</v>
      </c>
      <c r="K136" s="287">
        <f t="shared" si="25"/>
        <v>1949844.79</v>
      </c>
      <c r="L136" s="287">
        <f t="shared" si="25"/>
        <v>2446829.23</v>
      </c>
      <c r="M136" s="287">
        <f t="shared" si="25"/>
        <v>2040795.4</v>
      </c>
      <c r="N136" s="288">
        <f t="shared" si="25"/>
        <v>3397954.68</v>
      </c>
    </row>
    <row r="137" spans="2:15" x14ac:dyDescent="0.3">
      <c r="B137" s="279"/>
      <c r="C137" s="279"/>
      <c r="D137" s="279"/>
      <c r="E137" s="279"/>
      <c r="F137" s="279"/>
      <c r="G137" s="279"/>
      <c r="H137" s="279"/>
      <c r="I137" s="279"/>
      <c r="J137" s="279"/>
      <c r="K137" s="279"/>
      <c r="L137" s="279"/>
      <c r="M137" s="279"/>
      <c r="N137" s="279"/>
    </row>
    <row r="138" spans="2:15" x14ac:dyDescent="0.3">
      <c r="B138" s="279"/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</row>
    <row r="139" spans="2:15" x14ac:dyDescent="0.3">
      <c r="B139" s="281"/>
      <c r="C139" s="281"/>
      <c r="D139" s="281"/>
      <c r="E139" s="281"/>
      <c r="F139" s="281"/>
      <c r="G139" s="281"/>
      <c r="H139" s="281"/>
      <c r="I139" s="281"/>
      <c r="J139" s="281"/>
      <c r="K139" s="281"/>
      <c r="L139" s="281"/>
      <c r="M139" s="281"/>
      <c r="N139" s="281" t="s">
        <v>96</v>
      </c>
    </row>
    <row r="140" spans="2:15" ht="15" customHeight="1" x14ac:dyDescent="0.3">
      <c r="B140" s="711" t="s">
        <v>97</v>
      </c>
      <c r="C140" s="712"/>
      <c r="D140" s="712"/>
      <c r="E140" s="712"/>
      <c r="F140" s="712"/>
      <c r="G140" s="712"/>
      <c r="H140" s="712"/>
      <c r="I140" s="712"/>
      <c r="J140" s="712"/>
      <c r="K140" s="712"/>
      <c r="L140" s="712"/>
      <c r="M140" s="279"/>
      <c r="N140" s="279"/>
    </row>
    <row r="141" spans="2:15" ht="15.75" customHeight="1" thickBot="1" x14ac:dyDescent="0.35">
      <c r="B141" s="713"/>
      <c r="C141" s="714"/>
      <c r="D141" s="714"/>
      <c r="E141" s="714"/>
      <c r="F141" s="714"/>
      <c r="G141" s="714"/>
      <c r="H141" s="714"/>
      <c r="I141" s="714"/>
      <c r="J141" s="714"/>
      <c r="K141" s="714"/>
      <c r="L141" s="714"/>
    </row>
    <row r="142" spans="2:15" ht="23.25" thickBot="1" x14ac:dyDescent="0.5">
      <c r="B142" s="289"/>
      <c r="C142" s="290" t="s">
        <v>143</v>
      </c>
      <c r="D142" s="290" t="s">
        <v>144</v>
      </c>
      <c r="E142" s="290" t="s">
        <v>145</v>
      </c>
      <c r="F142" s="290" t="s">
        <v>146</v>
      </c>
      <c r="G142" s="290" t="s">
        <v>147</v>
      </c>
      <c r="H142" s="290" t="s">
        <v>148</v>
      </c>
      <c r="I142" s="290" t="s">
        <v>149</v>
      </c>
      <c r="J142" s="290" t="s">
        <v>150</v>
      </c>
      <c r="K142" s="289" t="s">
        <v>5</v>
      </c>
      <c r="L142" s="261"/>
      <c r="M142" s="261"/>
      <c r="N142" s="261"/>
      <c r="O142" s="261"/>
    </row>
    <row r="143" spans="2:15" ht="23.25" thickBot="1" x14ac:dyDescent="0.5">
      <c r="B143" s="291">
        <v>43831</v>
      </c>
      <c r="C143" s="292">
        <v>0.20093050378960126</v>
      </c>
      <c r="D143" s="292">
        <v>0.10165551950145127</v>
      </c>
      <c r="E143" s="292">
        <v>0.33281672158052328</v>
      </c>
      <c r="F143" s="292">
        <v>0.14479548240423026</v>
      </c>
      <c r="G143" s="292">
        <v>0.14556676877401903</v>
      </c>
      <c r="H143" s="292">
        <v>7.4235003950175016E-2</v>
      </c>
      <c r="I143" s="292"/>
      <c r="J143" s="292"/>
      <c r="K143" s="293">
        <f>SUM(C143:I143)</f>
        <v>1</v>
      </c>
    </row>
    <row r="144" spans="2:15" s="261" customFormat="1" ht="23.25" thickBot="1" x14ac:dyDescent="0.5">
      <c r="B144" s="291">
        <v>43862</v>
      </c>
      <c r="C144" s="294">
        <v>0.20938969784497322</v>
      </c>
      <c r="D144" s="294">
        <v>0.10000499341789812</v>
      </c>
      <c r="E144" s="294">
        <v>0.33323689465240919</v>
      </c>
      <c r="F144" s="294">
        <v>0.11339375704762655</v>
      </c>
      <c r="G144" s="294">
        <v>0.16725539591328317</v>
      </c>
      <c r="H144" s="294">
        <v>7.6719261123809709E-2</v>
      </c>
      <c r="I144" s="294"/>
      <c r="J144" s="294"/>
      <c r="K144" s="295">
        <f>SUM(C144:I144)</f>
        <v>0.99999999999999989</v>
      </c>
      <c r="L144" s="98"/>
      <c r="M144" s="98"/>
      <c r="N144" s="98"/>
      <c r="O144" s="98"/>
    </row>
    <row r="145" spans="2:11" ht="23.25" thickBot="1" x14ac:dyDescent="0.5">
      <c r="B145" s="291">
        <v>43891</v>
      </c>
      <c r="C145" s="294">
        <v>0.21799166572855985</v>
      </c>
      <c r="D145" s="294">
        <v>7.8172917151624846E-2</v>
      </c>
      <c r="E145" s="294">
        <v>0.32475511476354368</v>
      </c>
      <c r="F145" s="294">
        <v>0.13603117556168159</v>
      </c>
      <c r="G145" s="294">
        <v>0.17450597361336112</v>
      </c>
      <c r="H145" s="294">
        <v>6.8543153181228944E-2</v>
      </c>
      <c r="I145" s="294"/>
      <c r="J145" s="294"/>
      <c r="K145" s="295">
        <f>SUM(C145:I145)</f>
        <v>1</v>
      </c>
    </row>
    <row r="146" spans="2:11" ht="23.25" thickBot="1" x14ac:dyDescent="0.5">
      <c r="B146" s="291">
        <v>43922</v>
      </c>
      <c r="C146" s="294">
        <v>0.2076165464741834</v>
      </c>
      <c r="D146" s="294">
        <v>6.1884867520367086E-2</v>
      </c>
      <c r="E146" s="294">
        <v>0.33876623570336994</v>
      </c>
      <c r="F146" s="294">
        <v>0.10016937629857768</v>
      </c>
      <c r="G146" s="294">
        <v>0.15339509615966787</v>
      </c>
      <c r="H146" s="294">
        <v>8.4767581039387793E-2</v>
      </c>
      <c r="I146" s="294">
        <v>5.3400296804446211E-2</v>
      </c>
      <c r="J146" s="294"/>
      <c r="K146" s="295">
        <f>SUM(C146:I146)</f>
        <v>1</v>
      </c>
    </row>
    <row r="147" spans="2:11" ht="23.25" thickBot="1" x14ac:dyDescent="0.5">
      <c r="B147" s="291">
        <v>43952</v>
      </c>
      <c r="C147" s="294">
        <f>+G88</f>
        <v>0.20218501810602318</v>
      </c>
      <c r="D147" s="294">
        <f>+'[1]Mayo 15'!C35</f>
        <v>5.0530379421234055E-2</v>
      </c>
      <c r="E147" s="294">
        <f>+'[1]Mayo 15'!D35</f>
        <v>0.29838171801934965</v>
      </c>
      <c r="F147" s="294">
        <f>+'[1]Mayo 15'!E35</f>
        <v>8.8057914003072085E-2</v>
      </c>
      <c r="G147" s="294">
        <f>+'[1]Mayo 15'!F35</f>
        <v>0.12895730041331499</v>
      </c>
      <c r="H147" s="294">
        <f>+'[1]Mayo 15'!G35</f>
        <v>3.2071056320060375E-2</v>
      </c>
      <c r="I147" s="294">
        <f>+'[1]Mayo 15'!H35</f>
        <v>0.13796779018719399</v>
      </c>
      <c r="J147" s="294">
        <f>+G95</f>
        <v>6.1848823529751656E-2</v>
      </c>
      <c r="K147" s="295">
        <f t="shared" ref="K147:K155" si="26">SUM(C147:J147)</f>
        <v>0.99999999999999989</v>
      </c>
    </row>
    <row r="148" spans="2:11" ht="23.25" thickBot="1" x14ac:dyDescent="0.5">
      <c r="B148" s="291">
        <v>43983</v>
      </c>
      <c r="C148" s="294">
        <f>+H88</f>
        <v>0.16724067692130823</v>
      </c>
      <c r="D148" s="294">
        <f>+H89</f>
        <v>4.5201509337876505E-2</v>
      </c>
      <c r="E148" s="294">
        <f>+H90</f>
        <v>0.28974664617140961</v>
      </c>
      <c r="F148" s="294">
        <f>+H91</f>
        <v>8.355923660851948E-2</v>
      </c>
      <c r="G148" s="294">
        <f>+H92</f>
        <v>0.11661147994335264</v>
      </c>
      <c r="H148" s="294"/>
      <c r="I148" s="294">
        <f>+H94</f>
        <v>0.15971477190884645</v>
      </c>
      <c r="J148" s="294">
        <f>+H95</f>
        <v>0.13792567910868708</v>
      </c>
      <c r="K148" s="295">
        <f t="shared" si="26"/>
        <v>1</v>
      </c>
    </row>
    <row r="149" spans="2:11" ht="23.25" thickBot="1" x14ac:dyDescent="0.5">
      <c r="B149" s="291">
        <v>44013</v>
      </c>
      <c r="C149" s="294">
        <f>+'[1]Julio 15'!B35</f>
        <v>0.18764347076320478</v>
      </c>
      <c r="D149" s="294"/>
      <c r="E149" s="294">
        <f>+'[1]Julio 15'!C35</f>
        <v>0.26693214351833622</v>
      </c>
      <c r="F149" s="294">
        <f>+'[1]Julio 15'!D35</f>
        <v>9.6417202145714143E-2</v>
      </c>
      <c r="G149" s="294">
        <f>+'[1]Julio 15'!E35</f>
        <v>0.12159243612341368</v>
      </c>
      <c r="H149" s="294"/>
      <c r="I149" s="294">
        <f>+'[1]Julio 15'!F35</f>
        <v>0.14389166587249652</v>
      </c>
      <c r="J149" s="294">
        <f>+'[1]Julio 15'!G35</f>
        <v>0.18352308157683458</v>
      </c>
      <c r="K149" s="295">
        <f t="shared" si="26"/>
        <v>0.99999999999999989</v>
      </c>
    </row>
    <row r="150" spans="2:11" ht="23.25" thickBot="1" x14ac:dyDescent="0.5">
      <c r="B150" s="291">
        <v>44044</v>
      </c>
      <c r="C150" s="294">
        <f>+'[1]Agosto 15'!B36</f>
        <v>0.18844126338835437</v>
      </c>
      <c r="D150" s="294"/>
      <c r="E150" s="294">
        <f>+'[1]Agosto 15'!C36</f>
        <v>0.26407224400165363</v>
      </c>
      <c r="F150" s="294">
        <f>+'[1]Agosto 15'!D36</f>
        <v>9.0242502793189683E-2</v>
      </c>
      <c r="G150" s="294">
        <f>+'[1]Agosto 15'!E36</f>
        <v>0.12954903132180756</v>
      </c>
      <c r="H150" s="294"/>
      <c r="I150" s="294">
        <f>+'[1]Agosto 15'!F36</f>
        <v>0.16057619698408179</v>
      </c>
      <c r="J150" s="294">
        <f>+'[1]Agosto 15'!G36</f>
        <v>0.16711876151091298</v>
      </c>
      <c r="K150" s="295">
        <f t="shared" si="26"/>
        <v>0.99999999999999989</v>
      </c>
    </row>
    <row r="151" spans="2:11" ht="23.25" thickBot="1" x14ac:dyDescent="0.5">
      <c r="B151" s="291">
        <v>44075</v>
      </c>
      <c r="C151" s="294">
        <f>+K88</f>
        <v>0.19065047792949671</v>
      </c>
      <c r="D151" s="294"/>
      <c r="E151" s="294">
        <f>+K90</f>
        <v>0.27351791341723652</v>
      </c>
      <c r="F151" s="294">
        <f>+K91</f>
        <v>9.9465309145555819E-2</v>
      </c>
      <c r="G151" s="294">
        <f>+K92</f>
        <v>0.11845410300336208</v>
      </c>
      <c r="H151" s="294"/>
      <c r="I151" s="294">
        <f>+K94</f>
        <v>0.14351520294962355</v>
      </c>
      <c r="J151" s="294">
        <f>+K95</f>
        <v>0.17439699355472529</v>
      </c>
      <c r="K151" s="295">
        <f t="shared" si="26"/>
        <v>1.0000000000000002</v>
      </c>
    </row>
    <row r="152" spans="2:11" ht="23.25" thickBot="1" x14ac:dyDescent="0.5">
      <c r="B152" s="291">
        <v>44105</v>
      </c>
      <c r="C152" s="294">
        <f>+L88</f>
        <v>0.17539828582948333</v>
      </c>
      <c r="D152" s="294"/>
      <c r="E152" s="294">
        <f>+L90</f>
        <v>0.27319978786036925</v>
      </c>
      <c r="F152" s="294">
        <f>+L91</f>
        <v>0.12253673801092951</v>
      </c>
      <c r="G152" s="294">
        <f>+L92</f>
        <v>0.11592251922420913</v>
      </c>
      <c r="H152" s="294"/>
      <c r="I152" s="294">
        <f>+L94</f>
        <v>0.13893341046259952</v>
      </c>
      <c r="J152" s="294">
        <f>+L95</f>
        <v>0.17400925861240935</v>
      </c>
      <c r="K152" s="296">
        <f t="shared" si="26"/>
        <v>1.0000000000000002</v>
      </c>
    </row>
    <row r="153" spans="2:11" ht="23.25" customHeight="1" thickBot="1" x14ac:dyDescent="0.5">
      <c r="B153" s="291">
        <v>44136</v>
      </c>
      <c r="C153" s="294">
        <f>+M88</f>
        <v>0.17364794309373771</v>
      </c>
      <c r="D153" s="294"/>
      <c r="E153" s="294">
        <f>+M90</f>
        <v>0.26490766075543326</v>
      </c>
      <c r="F153" s="294">
        <f>+M91</f>
        <v>0.11303715304022884</v>
      </c>
      <c r="G153" s="294">
        <f>+M92</f>
        <v>0.14061533554859063</v>
      </c>
      <c r="H153" s="294"/>
      <c r="I153" s="294">
        <f>+M94</f>
        <v>0.12628455776949638</v>
      </c>
      <c r="J153" s="294">
        <f>+M95</f>
        <v>0.18150734979251315</v>
      </c>
      <c r="K153" s="296">
        <f t="shared" si="26"/>
        <v>0.99999999999999989</v>
      </c>
    </row>
    <row r="154" spans="2:11" ht="23.25" thickBot="1" x14ac:dyDescent="0.5">
      <c r="B154" s="291">
        <v>44166</v>
      </c>
      <c r="C154" s="297">
        <f>+N88</f>
        <v>0.14969207333792015</v>
      </c>
      <c r="D154" s="297"/>
      <c r="E154" s="297">
        <f>+N90</f>
        <v>0.28876968387692531</v>
      </c>
      <c r="F154" s="297">
        <f>+N91</f>
        <v>0.12114743749940587</v>
      </c>
      <c r="G154" s="297">
        <f>+N92</f>
        <v>0.14502561793831137</v>
      </c>
      <c r="H154" s="297"/>
      <c r="I154" s="297">
        <f>+N94</f>
        <v>0.11201956803257579</v>
      </c>
      <c r="J154" s="297">
        <f>+N95</f>
        <v>0.18334561931486146</v>
      </c>
      <c r="K154" s="296">
        <f t="shared" si="26"/>
        <v>1</v>
      </c>
    </row>
    <row r="155" spans="2:11" ht="25.5" thickBot="1" x14ac:dyDescent="0.55000000000000004">
      <c r="B155" s="298" t="s">
        <v>98</v>
      </c>
      <c r="C155" s="299">
        <f>AVERAGE(C143:C154)</f>
        <v>0.18923563526723719</v>
      </c>
      <c r="D155" s="299">
        <f>+(D143+D144+D145+D146+D147+D148)/12</f>
        <v>3.6454182195870988E-2</v>
      </c>
      <c r="E155" s="299">
        <f>AVERAGE(E143:E154)</f>
        <v>0.29575856369337994</v>
      </c>
      <c r="F155" s="299">
        <f>AVERAGE(F143:F154)</f>
        <v>0.10907110704656096</v>
      </c>
      <c r="G155" s="299">
        <f>AVERAGE(G143:G154)</f>
        <v>0.13812092149805777</v>
      </c>
      <c r="H155" s="299">
        <f>+(H143+H144+H145+H146+H147)/12</f>
        <v>2.8028004634555154E-2</v>
      </c>
      <c r="I155" s="299">
        <f>+(I147+I148+I149+I150+I151+I152+I153+I154+I146)/12</f>
        <v>9.8025288414280001E-2</v>
      </c>
      <c r="J155" s="299">
        <f>+(J147+J148+J149+J150+J151+J152+J153+J154)/12</f>
        <v>0.10530629725005797</v>
      </c>
      <c r="K155" s="300">
        <f t="shared" si="26"/>
        <v>1</v>
      </c>
    </row>
    <row r="156" spans="2:11" ht="22.5" x14ac:dyDescent="0.45">
      <c r="C156" s="301"/>
      <c r="D156" s="301"/>
      <c r="E156" s="301"/>
      <c r="F156" s="301"/>
      <c r="G156" s="301"/>
      <c r="H156" s="301"/>
      <c r="I156" s="301"/>
      <c r="J156" s="302"/>
    </row>
    <row r="157" spans="2:11" ht="22.5" x14ac:dyDescent="0.45">
      <c r="C157" s="301"/>
      <c r="D157" s="301"/>
      <c r="E157" s="301"/>
      <c r="F157" s="301"/>
      <c r="G157" s="301"/>
      <c r="H157" s="301"/>
      <c r="I157" s="301"/>
    </row>
    <row r="158" spans="2:11" ht="22.5" x14ac:dyDescent="0.45">
      <c r="C158" s="301"/>
      <c r="D158" s="301"/>
      <c r="E158" s="301"/>
      <c r="F158" s="301"/>
      <c r="G158" s="301"/>
      <c r="H158" s="301"/>
      <c r="I158" s="301"/>
    </row>
    <row r="159" spans="2:11" ht="22.5" x14ac:dyDescent="0.45">
      <c r="C159" s="301"/>
      <c r="D159" s="301"/>
      <c r="E159" s="301"/>
      <c r="F159" s="301"/>
      <c r="G159" s="301"/>
      <c r="H159" s="301"/>
      <c r="I159" s="301"/>
    </row>
    <row r="160" spans="2:11" ht="22.5" x14ac:dyDescent="0.45">
      <c r="C160" s="301"/>
      <c r="D160" s="301"/>
      <c r="E160" s="301"/>
      <c r="F160" s="301"/>
      <c r="G160" s="301"/>
      <c r="H160" s="301"/>
      <c r="I160" s="301"/>
    </row>
    <row r="161" spans="3:9" ht="22.5" x14ac:dyDescent="0.45">
      <c r="C161" s="301"/>
      <c r="D161" s="301"/>
      <c r="E161" s="301"/>
      <c r="F161" s="301"/>
      <c r="G161" s="301"/>
      <c r="H161" s="301"/>
      <c r="I161" s="301"/>
    </row>
  </sheetData>
  <mergeCells count="15">
    <mergeCell ref="K12:N12"/>
    <mergeCell ref="K13:N14"/>
    <mergeCell ref="C2:K2"/>
    <mergeCell ref="K3:K5"/>
    <mergeCell ref="C5:J5"/>
    <mergeCell ref="B8:I8"/>
    <mergeCell ref="K8:N8"/>
    <mergeCell ref="K9:N10"/>
    <mergeCell ref="K16:N16"/>
    <mergeCell ref="K17:N32"/>
    <mergeCell ref="K34:N34"/>
    <mergeCell ref="B86:N86"/>
    <mergeCell ref="B119:N119"/>
    <mergeCell ref="B140:L141"/>
    <mergeCell ref="B55:N55"/>
  </mergeCells>
  <phoneticPr fontId="55" type="noConversion"/>
  <printOptions horizontalCentered="1"/>
  <pageMargins left="0.19685039370078741" right="0.19685039370078741" top="0.39370078740157483" bottom="0.39370078740157483" header="0" footer="0"/>
  <pageSetup paperSize="9" scale="41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Enero 16</vt:lpstr>
      <vt:lpstr>Febrero 16</vt:lpstr>
      <vt:lpstr>Marzo 16</vt:lpstr>
      <vt:lpstr>Abril 21</vt:lpstr>
      <vt:lpstr>mayo 21</vt:lpstr>
      <vt:lpstr>junio 21</vt:lpstr>
      <vt:lpstr>Recaudacion</vt:lpstr>
      <vt:lpstr>PROYECCION 2021</vt:lpstr>
      <vt:lpstr>Porcentajes</vt:lpstr>
      <vt:lpstr>'Abril 21'!Área_de_impresión</vt:lpstr>
      <vt:lpstr>'junio 21'!Área_de_impresión</vt:lpstr>
      <vt:lpstr>'Marzo 16'!Área_de_impresión</vt:lpstr>
      <vt:lpstr>Porcentajes!Área_de_impresión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federico.rocha</dc:creator>
  <cp:lastModifiedBy>Federico Rocha</cp:lastModifiedBy>
  <cp:lastPrinted>2016-07-19T15:18:43Z</cp:lastPrinted>
  <dcterms:created xsi:type="dcterms:W3CDTF">2016-02-22T17:12:37Z</dcterms:created>
  <dcterms:modified xsi:type="dcterms:W3CDTF">2021-04-29T11:34:17Z</dcterms:modified>
</cp:coreProperties>
</file>